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Лист1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<sst xmlns="http://schemas.openxmlformats.org/spreadsheetml/2006/main" count="108" uniqueCount="84">
  <si>
    <t xml:space="preserve">Приложение 1 </t>
  </si>
  <si>
    <t>Приложение 1  к постановлению "Об установлении размера платы за содержание жилого помещения в многоквартирных домах Асбестовского городского округа"</t>
  </si>
  <si>
    <t>РАЗМЕР ПЛАТЫ ЗА СОДЕРЖАНИЕ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ФОНДА, СОБСТВЕННИКОВ ЖИЛЫХ ПОМЕЩЕНИЙ, НЕ ВЫБРАВШИХ СПОСОБ УПРАВЛЕНИЯ МНОГОКВАРТИРНЫМ ДОМОМ, И СОБСТВЕННИКОВ ЖИЛЫХ ПОМЕЩЕНИЙ, ВЫБРАВШИХ СПОСОБ УПРАВЛЕНИЯ МНОГОКВАРТИРНЫМ ДОМОМ И НЕ ПРИНЯВШИХ РЕШЕНИЕ ОБ  УСТАНОВЛЕНИИ РАЗМЕРА ПЛАТЫ ЗА СОДЕРЖАНИЕ И РЕМОНТ ЖИЛОГО ПОМЕЩЕНИЯ НА ИХ ОБЩЕМ СОБРАНИИ</t>
  </si>
  <si>
    <t>№ стр</t>
  </si>
  <si>
    <t>№п/п</t>
  </si>
  <si>
    <t>Тип многоквартирного дома</t>
  </si>
  <si>
    <t>Стоимость 1 кв. м. (руб.) , среднее значение  по обоснованным расчетам управляющих компаний</t>
  </si>
  <si>
    <t>Стоимость 1 кв. м. (руб.)</t>
  </si>
  <si>
    <t xml:space="preserve">Итого </t>
  </si>
  <si>
    <t xml:space="preserve">в том числе  на </t>
  </si>
  <si>
    <t>Перечень работ и услуг по содержанию многоквартирного дома</t>
  </si>
  <si>
    <t>Итого</t>
  </si>
  <si>
    <t>содержание</t>
  </si>
  <si>
    <t xml:space="preserve">управление </t>
  </si>
  <si>
    <t>восстановительные работы</t>
  </si>
  <si>
    <t>Работы, необходимые для надлежащего содержания несущих и ненесущих конструкций</t>
  </si>
  <si>
    <t>Работы, необходимые для надлежащего содержания оборудования и систем инженерно-технического обеспечения, входящих в состав ОИ в МКД</t>
  </si>
  <si>
    <t>Проведение дератизации, дезинсекции помещений, входящих в состав ОИ МКД, работы по содержанию придомовой территории МКД</t>
  </si>
  <si>
    <t>Работы по содержанию помещений, входящих в состав ОИ в МКД</t>
  </si>
  <si>
    <t>Работы, выполняемые в целях надлежащего содержания и ремонта лифта (лифтов) в многоквартирном доме:</t>
  </si>
  <si>
    <t>Управление МКД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</si>
  <si>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</si>
  <si>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МКД с наружными стенами из кирпича, железобетонных панелей, кровлей из рулонных материалов, с лифтами, с мусоропроводом  с ЦО с ГВС с ХВС с централизованным водоотведением, с газом</t>
  </si>
  <si>
    <t>МКД секционного типа с наружными стенами из кирпича, кровлей из рулонных материалов, с лифтами, с мусоропроводом  с ЦО с ГВС с ХВС с централизованным водоотведением, с газом</t>
  </si>
  <si>
    <t>МКД с наружными стенами из кирпича, железобетонных панелей, кровлей из рулонных материалов, БЕЗ ЛИФТОВ, с мусоропроводом  с ЦО с ГВС с ХВС с централизованным водоотведением, С ГАЗОМ</t>
  </si>
  <si>
    <t>МКД секционного типа с наружными стенами из кирпича, железобетонных панелей, кровлей из рулонных материалов, БЕЗ ЛИФТОВ, с мусоропроводом  с ЦО с ГВС с ХВС с централизованным водоотведением, БЕЗ ГАЗА</t>
  </si>
  <si>
    <t>МКД с наружными стенами из кирпича, железобетонных панелей, кровлей из рулонных материалов, без лифта, БЕЗ МУСОРОПРОВОДА  с ЦО с ГВС с ХВС с централизованным водоотведением, с газом</t>
  </si>
  <si>
    <t>МКД с наружными стенами из кирпича, железобетонных панелей, кровлей из рулонных материалов, без лифта, с МУСОРОПРОВОДОМ  с ЦО с ГВС с ХВС с централизованным водоотведением, БЕЗ ГАЗА</t>
  </si>
  <si>
    <t>МКД с наружными стенами из кирпича, железобетонных панелей, кровлей из рулонных материалов, без лифта, без МУСОРОПРОВОДА  с ЦО с ГВС с ХВС с централизованным водоотведением, БЕЗ ГАЗА</t>
  </si>
  <si>
    <t>МКД с наружными стенами из кирпича, железобетонных панелей, кровлей из штучных материалов, без лифта, БЕЗ МУСОРОПРОВОДА  с ЦО с ГВС с ХВС с централизованным водоотведением, с газом</t>
  </si>
  <si>
    <t>МКД секционного типа с наружными стенами из кирпича, кровлей из рулонных материалов, без лифта, без мусоропровода  с ЦО с ГВС с ХВС с централизованным водоотведением, с газом</t>
  </si>
  <si>
    <t>МКД 2-этажные с деревянными наружными стенами, стенами из шлакоблоков, кровлей из штучных материалов, с ЦО с ГВС с ХВС с централизованным водоотведением, с газом, без лифта, без мусоопровода</t>
  </si>
  <si>
    <t>МКД 2-этажные секционного типа с наружными стенами из кирпича, кровлей из штучных материалов, с ЦО с ГВС с ХВС с централизованным водоотведением, с газом, без лифта, без мусоопровода</t>
  </si>
  <si>
    <t>МКД 2-этажные с наружными стенами из кирпича, кровлей из штучных материалов, с ЦО с ГВС с ХВС с централизованным водоотведением, с газом</t>
  </si>
  <si>
    <t>МКД с наружными стенами из кирпича, кровлей из штучных материалов, без лифта, БЕЗ МУСОРОПРОВОДА  с ЦО с ГВС с ХВС с централизованным водоотведением, без газа</t>
  </si>
  <si>
    <t>МКД с наружными стенами из кирпича, кровлей из рулонных материалов, без лифта, БЕЗ МУСОРОПРОВОДА  с ЦО с ГВС с ХВС с централизованным водоотведением, без газа</t>
  </si>
  <si>
    <t>МКД с наружными стенами из шлакоблоков, кровлей из штучных материалов, без лифта, БЕЗ МУСОРОПРОВОДА  с ЦО, без ГВС с ХВС с централизованным водоотведением, с газом</t>
  </si>
  <si>
    <t>МКД с наружными стенами из кирпича, кровлей из штучных материалов, без лифта, БЕЗ МУСОРОПРОВОДА  с ЦО, без ГВС с ХВС с централизованным водоотведением, без газа</t>
  </si>
  <si>
    <t>МКД с деревянными наружными стенами, кровлей из штучных материалов, без лифта, без мусоропровода, без ЦО, без ГВС с ХВС без централизованного водоотведения, без газа</t>
  </si>
  <si>
    <t>МКД с деревянными (брусчатыми) наружными стенами, из кирпича, кровлей из штучных материалов, без лифта, без мусоропровода, без ЦО, без ГВС с ХВС, с централизованным водоотведением, с газом</t>
  </si>
  <si>
    <t>МКД с деревянными наружными стенами, кровлей из штучных материалов, без лифта, без мусоропровода, без ЦО, без ГВС, без ХВС без централизованного водоотведения, без газа</t>
  </si>
  <si>
    <t>МКД ветхое аварийное</t>
  </si>
  <si>
    <t>МКД ветхое и аварийное, в том числе с учетом конструктивных особенностей многоквартирного дома:</t>
  </si>
  <si>
    <t>21.1</t>
  </si>
  <si>
    <t>МКД ветхое и аварийное с деревянными наружными стенами, стенами из шлакоблоков, кровлей из штучных материалов, без лифтов, без мусоропроводов,  без ЦО, без ГВС , с ХВС с централизованным водоотведением, с газом</t>
  </si>
  <si>
    <t>21.2</t>
  </si>
  <si>
    <t>МКД ветхое и аварийное с деревянными наружными стенами, стенами из шлакоблоков, кровлей из штучных материалов, без лифтов, без мусоропроводов,  с ЦО, с ГВС , с ХВС с централизованным водоотведением, без газа</t>
  </si>
  <si>
    <t>21.3</t>
  </si>
  <si>
    <t>МКД ветхое и аварийное с деревянными наружными стенами, стенами из шлакоблоков, кровлей из штучных материалов, без лифтов, без мусоропроводов,  с ЦО, с ГВС , с ХВС с централизованным водоотведением, с газом</t>
  </si>
  <si>
    <t>21.4</t>
  </si>
  <si>
    <t>МКД ветхое и аварийное  с деревянными наружными стенами, стенами из шлакоблоков, кровлей из штучных материалов, без лифтов, без мусоропроводов,  с ЦО, без ГВС , с ХВС с централизованным водоотведением, с газом</t>
  </si>
  <si>
    <t>21.5</t>
  </si>
  <si>
    <t xml:space="preserve">МКД ветхое и аварийное  с каркасно-засыпными, деревянными (брусчатыми, бревенчатыми) наружными стенами, а также с наружными стенами из кирпича, шлакоблоков, железобетонных панелей,  с централизованным теплоснабжением и другими видами благоустройства, без лифтов, не оборудованные в установленном порядке газовыми плитами, с вывозом жидких бытовых отходов </t>
  </si>
  <si>
    <t>21.6</t>
  </si>
  <si>
    <t>МКД ветхое и аварийное  с  деревянными (брусчатыми, бревенчатыми) наружными стенами, без  централизованного теплоснабжения, не оборудованные в установленном порядке газовыми плитами</t>
  </si>
  <si>
    <t>МКД с деревянными наружными стенами, кровлей из штучных материалов, без лифта, без мусоропровода, без ЦО, без ГВС с ХВС без централизованного водоотведения, с газом</t>
  </si>
  <si>
    <t>МКД секционного типа с наружными стенами из кирпича, кровлей из рулонных материалов, с лифтами, с мусоропроводом  с ЦО с ГВС с ХВС с централизованным водоотведением, БЕЗ ГАЗОВЫХ ПЛИТ</t>
  </si>
  <si>
    <t>МКД секционного типа с наружными стенами из кирпича, кровлей из штучных материалов, без лифта, без мусоропровода  с ЦО с ГВС с ХВС с централизованным водоотведением, БЕЗ ГАЗОВЫХ ПЛИТ</t>
  </si>
  <si>
    <t>МКД с деревянными наружными стенами , кровлей из штучных материалов, без лифта, БЕЗ МУСОРОПРОВОДА  с ЦО с ГВС с ХВС с централизованным водоотведением, без газа</t>
  </si>
  <si>
    <t>МКД с наружными стенами из железобетонных панелей, кровлей из рулонных материалов, без лифта, БЕЗ МУСОРОПРОВОДА  с ЦО с ГВС с ХВС с централизованным водоотведением, без газа</t>
  </si>
  <si>
    <t>МКД с деревянными наружными стенами , кровлей из штучных материалов, без лифта, БЕЗ МУСОРОПРОВОДА  с ЦО, без ГВС с ХВС с централизованным водоотведением, без газа</t>
  </si>
  <si>
    <t>МКД с наружными стенами из кирпича, кровлей из штучных материалов, без лифта, БЕЗ МУСОРОПРОВОДА  с ЦО, без ГВС с ХВС с централизованным водоотведением, без газа с ассенизацией</t>
  </si>
  <si>
    <t>МКД с деревянными наружными стенами , кровлей из штучных материалов, без лифта, БЕЗ МУСОРОПРОВОДА  с ЦО, без ГВС с ХВС с централизованным водоотведением, без газа с ассенизацией</t>
  </si>
  <si>
    <t>МКД с деревянными наружными стенами, кровлей из штучных материалов, без лифта, без мусоропровода, с ЦО, без ГВС с ХВС без централизованного водоотведения, без газа</t>
  </si>
  <si>
    <t>МКД с  наружными стенами из кирпича, кровлей из штучных материалов, без лифта, без мусоропровода, с ЦО, без ГВС с ХВС без централизованного водоотведения, без газа</t>
  </si>
  <si>
    <t>МКД с деревянными наружными стенами, кровлей из штучных материалов, без лифта, без мусоропровода, с ЦО, без ГВС без ХВС без централизованного водоотведения, без газа с ассенизацией</t>
  </si>
  <si>
    <t>МКД с  наружными стенами из кирпича, кровлей из штучных материалов, без лифта, без мусоропровода, с ЦО, без ГВС с ХВС без централизованного водоотведения, без газа с ассенизацией</t>
  </si>
  <si>
    <t>МКД с  наружными стенами из кирпича, кровлей из штучных материалов, без лифта, без мусоропровода, с ЦО, без ГВС без ХВС без централизованного водоотведения, без газа с ассенизацией</t>
  </si>
  <si>
    <t>МКД с деревянными наружными стенами, кровлей из штучных материалов, без лифта, без мусоропровода, с ЦО, без ГВС, без ХВС без централизованного водоотведения, без газа</t>
  </si>
  <si>
    <t>Примечание:</t>
  </si>
  <si>
    <t>1. Перечень услуг и работ соответствует минимальному перечню услуг и работ, необходимых для обеспечения надлежащего содержания общего имущества в многоквартирном доме, утвержденному Постановлением Правительства РФ от 03.04.2013 N 290.</t>
  </si>
  <si>
    <t>2. Перечень услуг и работ в отношении каждого многоквартирного дома определяется с учетом конструктивных элементов многоквартирного дома, наличия и состава внутридомовых инженерных систем, обеспечивающих предоставление потребителям коммунальных услуг тех видов, которые могут быть предоставлены с использованием таких внутридомовых инженерных систем, наличия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дома.</t>
  </si>
  <si>
    <t>4. Стоимость услуг и работ указана для отдельных квартир. Для коммунальных квартир и общежитий применяется коэффициент соотношения общей площади жилого</t>
  </si>
  <si>
    <t xml:space="preserve"> помещения к жилой площади 1,5.</t>
  </si>
  <si>
    <t>5. Управляющие организации, осуществляющие деятельность по управлению многоквартирным домом,  применяя плату, установленную органом местного самоуправления, обязаны раскрывать перед собственниками жилых помещений стоимость работ и услуг по содержанию многоквартирного дома с указанием планируемых работ.</t>
  </si>
  <si>
    <t>3. В плату за содержание жилого помещения не включены расходы на оплату за коммунальные ресурсы, потребляемые при использовании и содержании общего имущества в многоквартирном доме.</t>
  </si>
  <si>
    <t>от 27.06.2019 № 371-ПА</t>
  </si>
  <si>
    <t>39 домов</t>
  </si>
  <si>
    <t>ветхое 6 домов</t>
  </si>
  <si>
    <t>с ветхим</t>
  </si>
  <si>
    <t>б\ветх</t>
  </si>
  <si>
    <t>33 дома</t>
  </si>
  <si>
    <t>Перечень работ и услуг по содержанию многовкартирного дома</t>
  </si>
  <si>
    <t>Приложение к постановлению № 325-ПА от 20.06.2022 "Об установлении размера платы за содержание жилого помещения в многоквартирных домах Асбестовского городского округа"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</si>
</sst>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indent="1"/>
    </xf>
    <xf numFmtId="0" fontId="0" fillId="0" borderId="0" xfId="0" applyAlignment="1">
      <alignment wrapText="1"/>
    </xf>
    <xf numFmtId="0" fontId="47" fillId="0" borderId="0" xfId="0" applyFont="1" applyAlignment="1">
      <alignment vertical="center"/>
    </xf>
    <xf numFmtId="0" fontId="2" fillId="0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0" fontId="45" fillId="0" borderId="0" xfId="60" applyFont="1" applyFill="1" applyAlignment="1">
      <alignment/>
    </xf>
    <xf numFmtId="0" fontId="27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1" fillId="33" borderId="0" xfId="51" applyFill="1" applyAlignment="1">
      <alignment/>
    </xf>
    <xf numFmtId="0" fontId="45" fillId="0" borderId="0" xfId="0" applyFont="1" applyFill="1" applyAlignment="1">
      <alignment/>
    </xf>
    <xf numFmtId="0" fontId="46" fillId="0" borderId="0" xfId="60" applyFill="1" applyAlignment="1">
      <alignment/>
    </xf>
    <xf numFmtId="0" fontId="0" fillId="33" borderId="0" xfId="51" applyFont="1" applyFill="1" applyAlignment="1">
      <alignment/>
    </xf>
    <xf numFmtId="0" fontId="3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0" fillId="34" borderId="0" xfId="0" applyFill="1" applyAlignment="1">
      <alignment/>
    </xf>
    <xf numFmtId="0" fontId="0" fillId="0" borderId="0" xfId="0" applyFill="1" applyAlignment="1">
      <alignment horizontal="center" wrapText="1"/>
    </xf>
    <xf numFmtId="2" fontId="48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7" fillId="33" borderId="15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/>
    </xf>
    <xf numFmtId="2" fontId="5" fillId="33" borderId="11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 readingOrder="1"/>
    </xf>
    <xf numFmtId="2" fontId="6" fillId="33" borderId="14" xfId="0" applyNumberFormat="1" applyFont="1" applyFill="1" applyBorder="1" applyAlignment="1">
      <alignment horizontal="center" vertical="center" wrapText="1" readingOrder="1"/>
    </xf>
    <xf numFmtId="0" fontId="7" fillId="33" borderId="13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vertical="top" wrapText="1" readingOrder="1"/>
    </xf>
    <xf numFmtId="0" fontId="8" fillId="33" borderId="17" xfId="0" applyFont="1" applyFill="1" applyBorder="1" applyAlignment="1">
      <alignment vertical="top" wrapText="1" readingOrder="1"/>
    </xf>
    <xf numFmtId="0" fontId="8" fillId="33" borderId="17" xfId="0" applyFont="1" applyFill="1" applyBorder="1" applyAlignment="1">
      <alignment horizontal="center" vertical="top" wrapText="1" readingOrder="1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readingOrder="1"/>
    </xf>
    <xf numFmtId="2" fontId="6" fillId="33" borderId="10" xfId="0" applyNumberFormat="1" applyFont="1" applyFill="1" applyBorder="1" applyAlignment="1">
      <alignment horizontal="center" vertical="center" wrapText="1" readingOrder="1"/>
    </xf>
    <xf numFmtId="0" fontId="8" fillId="33" borderId="13" xfId="0" applyFont="1" applyFill="1" applyBorder="1" applyAlignment="1">
      <alignment horizontal="center" vertical="top" wrapText="1" readingOrder="1"/>
    </xf>
    <xf numFmtId="0" fontId="49" fillId="33" borderId="18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/>
    </xf>
    <xf numFmtId="0" fontId="30" fillId="34" borderId="13" xfId="0" applyFont="1" applyFill="1" applyBorder="1" applyAlignment="1">
      <alignment horizontal="center"/>
    </xf>
    <xf numFmtId="2" fontId="30" fillId="34" borderId="13" xfId="0" applyNumberFormat="1" applyFont="1" applyFill="1" applyBorder="1" applyAlignment="1">
      <alignment horizontal="center"/>
    </xf>
    <xf numFmtId="2" fontId="27" fillId="34" borderId="13" xfId="0" applyNumberFormat="1" applyFont="1" applyFill="1" applyBorder="1" applyAlignment="1">
      <alignment horizontal="right"/>
    </xf>
    <xf numFmtId="0" fontId="27" fillId="34" borderId="13" xfId="0" applyFont="1" applyFill="1" applyBorder="1" applyAlignment="1">
      <alignment horizontal="right"/>
    </xf>
    <xf numFmtId="2" fontId="27" fillId="34" borderId="13" xfId="60" applyNumberFormat="1" applyFont="1" applyFill="1" applyBorder="1" applyAlignment="1">
      <alignment horizontal="right"/>
    </xf>
    <xf numFmtId="2" fontId="27" fillId="34" borderId="13" xfId="51" applyNumberFormat="1" applyFont="1" applyFill="1" applyBorder="1" applyAlignment="1">
      <alignment horizontal="right"/>
    </xf>
    <xf numFmtId="2" fontId="9" fillId="34" borderId="13" xfId="0" applyNumberFormat="1" applyFont="1" applyFill="1" applyBorder="1" applyAlignment="1">
      <alignment horizontal="center"/>
    </xf>
    <xf numFmtId="2" fontId="6" fillId="34" borderId="13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 horizontal="right"/>
    </xf>
    <xf numFmtId="2" fontId="9" fillId="34" borderId="13" xfId="0" applyNumberFormat="1" applyFont="1" applyFill="1" applyBorder="1" applyAlignment="1">
      <alignment horizontal="right"/>
    </xf>
    <xf numFmtId="2" fontId="27" fillId="34" borderId="10" xfId="0" applyNumberFormat="1" applyFont="1" applyFill="1" applyBorder="1" applyAlignment="1">
      <alignment horizontal="right"/>
    </xf>
    <xf numFmtId="2" fontId="27" fillId="34" borderId="10" xfId="60" applyNumberFormat="1" applyFont="1" applyFill="1" applyBorder="1" applyAlignment="1">
      <alignment horizontal="right"/>
    </xf>
    <xf numFmtId="2" fontId="9" fillId="34" borderId="10" xfId="0" applyNumberFormat="1" applyFont="1" applyFill="1" applyBorder="1" applyAlignment="1">
      <alignment horizontal="right"/>
    </xf>
    <xf numFmtId="0" fontId="27" fillId="34" borderId="13" xfId="5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8" fillId="0" borderId="13" xfId="0" applyFont="1" applyFill="1" applyBorder="1" applyAlignment="1">
      <alignment wrapText="1"/>
    </xf>
    <xf numFmtId="2" fontId="30" fillId="0" borderId="1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2" fontId="27" fillId="0" borderId="13" xfId="6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27" fillId="0" borderId="13" xfId="51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/>
    </xf>
    <xf numFmtId="0" fontId="30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2" fontId="27" fillId="0" borderId="10" xfId="0" applyNumberFormat="1" applyFont="1" applyFill="1" applyBorder="1" applyAlignment="1">
      <alignment horizontal="right"/>
    </xf>
    <xf numFmtId="0" fontId="0" fillId="19" borderId="0" xfId="0" applyFill="1" applyAlignment="1">
      <alignment/>
    </xf>
    <xf numFmtId="0" fontId="49" fillId="19" borderId="19" xfId="0" applyFont="1" applyFill="1" applyBorder="1" applyAlignment="1">
      <alignment/>
    </xf>
    <xf numFmtId="0" fontId="7" fillId="19" borderId="13" xfId="0" applyFont="1" applyFill="1" applyBorder="1" applyAlignment="1">
      <alignment horizontal="center" vertical="top" wrapText="1"/>
    </xf>
    <xf numFmtId="0" fontId="8" fillId="19" borderId="13" xfId="0" applyFont="1" applyFill="1" applyBorder="1" applyAlignment="1">
      <alignment horizontal="center" vertical="top" wrapText="1" readingOrder="1"/>
    </xf>
    <xf numFmtId="0" fontId="47" fillId="19" borderId="13" xfId="0" applyFont="1" applyFill="1" applyBorder="1" applyAlignment="1">
      <alignment horizontal="center" vertical="center"/>
    </xf>
    <xf numFmtId="2" fontId="27" fillId="19" borderId="13" xfId="0" applyNumberFormat="1" applyFont="1" applyFill="1" applyBorder="1" applyAlignment="1">
      <alignment horizontal="right"/>
    </xf>
    <xf numFmtId="2" fontId="27" fillId="19" borderId="10" xfId="0" applyNumberFormat="1" applyFont="1" applyFill="1" applyBorder="1" applyAlignment="1">
      <alignment horizontal="right"/>
    </xf>
    <xf numFmtId="0" fontId="48" fillId="19" borderId="0" xfId="0" applyFont="1" applyFill="1" applyAlignment="1">
      <alignment/>
    </xf>
    <xf numFmtId="2" fontId="0" fillId="35" borderId="0" xfId="0" applyNumberFormat="1" applyFill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" fontId="30" fillId="0" borderId="0" xfId="0" applyNumberFormat="1" applyFont="1" applyFill="1" applyAlignment="1">
      <alignment horizontal="center"/>
    </xf>
    <xf numFmtId="0" fontId="30" fillId="0" borderId="13" xfId="5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27" fillId="0" borderId="10" xfId="60" applyNumberFormat="1" applyFont="1" applyFill="1" applyBorder="1" applyAlignment="1">
      <alignment horizontal="right"/>
    </xf>
    <xf numFmtId="0" fontId="47" fillId="0" borderId="1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 wrapText="1" readingOrder="1"/>
    </xf>
    <xf numFmtId="2" fontId="9" fillId="0" borderId="13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2" fontId="27" fillId="0" borderId="13" xfId="52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30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48" fillId="0" borderId="0" xfId="0" applyFont="1" applyFill="1" applyAlignment="1">
      <alignment vertical="top" wrapText="1"/>
    </xf>
    <xf numFmtId="0" fontId="48" fillId="0" borderId="0" xfId="0" applyFont="1" applyFill="1" applyAlignment="1">
      <alignment horizontal="left" vertical="top" wrapText="1"/>
    </xf>
    <xf numFmtId="0" fontId="49" fillId="33" borderId="16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8" fillId="0" borderId="0" xfId="0" applyFont="1" applyFill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 readingOrder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2" fontId="27" fillId="0" borderId="0" xfId="0" applyNumberFormat="1" applyFont="1" applyFill="1" applyAlignment="1">
      <alignment/>
    </xf>
    <xf numFmtId="0" fontId="27" fillId="19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Fill="1" applyAlignment="1">
      <alignment horizontal="left" indent="1"/>
    </xf>
    <xf numFmtId="0" fontId="27" fillId="0" borderId="0" xfId="0" applyFont="1" applyAlignment="1">
      <alignment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11"/>
  <sheetViews>
    <sheetView tabSelected="1" zoomScale="85" zoomScaleNormal="85" zoomScalePageLayoutView="0" workbookViewId="0" topLeftCell="A1">
      <selection activeCell="A2" sqref="A2:IV65"/>
    </sheetView>
  </sheetViews>
  <sheetFormatPr defaultColWidth="9.140625" defaultRowHeight="15"/>
  <cols>
    <col min="1" max="1" width="3.7109375" style="0" customWidth="1"/>
    <col min="2" max="2" width="5.8515625" style="0" customWidth="1"/>
    <col min="3" max="3" width="34.421875" style="4" customWidth="1"/>
    <col min="4" max="4" width="0.13671875" style="0" hidden="1" customWidth="1"/>
    <col min="5" max="5" width="5.8515625" style="0" hidden="1" customWidth="1"/>
    <col min="6" max="6" width="7.00390625" style="0" hidden="1" customWidth="1"/>
    <col min="7" max="7" width="6.8515625" style="0" hidden="1" customWidth="1"/>
    <col min="8" max="8" width="5.140625" style="0" hidden="1" customWidth="1"/>
    <col min="9" max="9" width="5.7109375" style="0" hidden="1" customWidth="1"/>
    <col min="10" max="10" width="6.7109375" style="0" hidden="1" customWidth="1"/>
    <col min="11" max="11" width="5.7109375" style="0" hidden="1" customWidth="1"/>
    <col min="12" max="13" width="5.8515625" style="0" hidden="1" customWidth="1"/>
    <col min="14" max="15" width="0.13671875" style="0" hidden="1" customWidth="1"/>
    <col min="16" max="16" width="0.13671875" style="33" customWidth="1"/>
    <col min="17" max="17" width="10.28125" style="33" customWidth="1"/>
    <col min="18" max="18" width="0.13671875" style="0" customWidth="1"/>
    <col min="19" max="19" width="0.42578125" style="0" hidden="1" customWidth="1"/>
    <col min="20" max="20" width="8.28125" style="0" customWidth="1"/>
    <col min="21" max="21" width="0.13671875" style="0" customWidth="1"/>
    <col min="22" max="22" width="0.2890625" style="0" hidden="1" customWidth="1"/>
    <col min="23" max="23" width="9.00390625" style="1" customWidth="1"/>
    <col min="24" max="24" width="5.7109375" style="0" hidden="1" customWidth="1"/>
    <col min="25" max="25" width="0.13671875" style="33" customWidth="1"/>
    <col min="26" max="26" width="10.28125" style="33" customWidth="1"/>
    <col min="27" max="27" width="0.13671875" style="30" hidden="1" customWidth="1"/>
    <col min="28" max="28" width="0.13671875" style="83" customWidth="1"/>
    <col min="29" max="29" width="9.7109375" style="30" customWidth="1"/>
    <col min="30" max="30" width="0.85546875" style="1" hidden="1" customWidth="1"/>
    <col min="31" max="31" width="11.140625" style="1" hidden="1" customWidth="1"/>
    <col min="32" max="32" width="10.7109375" style="1" customWidth="1"/>
    <col min="33" max="33" width="0.2890625" style="1" hidden="1" customWidth="1"/>
    <col min="34" max="34" width="23.421875" style="1" hidden="1" customWidth="1"/>
    <col min="35" max="35" width="23.28125" style="1" customWidth="1"/>
    <col min="36" max="36" width="5.7109375" style="1" hidden="1" customWidth="1"/>
    <col min="37" max="37" width="5.28125" style="1" hidden="1" customWidth="1"/>
    <col min="38" max="38" width="6.57421875" style="1" customWidth="1"/>
    <col min="39" max="39" width="7.7109375" style="0" hidden="1" customWidth="1"/>
    <col min="40" max="40" width="8.7109375" style="0" hidden="1" customWidth="1"/>
    <col min="41" max="41" width="11.8515625" style="0" customWidth="1"/>
    <col min="42" max="42" width="7.57421875" style="0" hidden="1" customWidth="1"/>
    <col min="43" max="43" width="6.7109375" style="0" hidden="1" customWidth="1"/>
    <col min="44" max="44" width="6.421875" style="1" customWidth="1"/>
    <col min="45" max="45" width="8.28125" style="1" hidden="1" customWidth="1"/>
    <col min="46" max="46" width="0.42578125" style="1" hidden="1" customWidth="1"/>
    <col min="47" max="47" width="11.421875" style="1" customWidth="1"/>
    <col min="48" max="48" width="8.8515625" style="0" hidden="1" customWidth="1"/>
  </cols>
  <sheetData>
    <row r="1" spans="3:41" s="1" customFormat="1" ht="13.5" customHeight="1">
      <c r="C1" s="2"/>
      <c r="H1" s="2"/>
      <c r="P1" s="15"/>
      <c r="Q1" s="15"/>
      <c r="Y1" s="15"/>
      <c r="Z1" s="15"/>
      <c r="AB1" s="83"/>
      <c r="AM1" s="3" t="s">
        <v>0</v>
      </c>
      <c r="AN1" s="3"/>
      <c r="AO1" s="3"/>
    </row>
    <row r="2" spans="3:45" s="144" customFormat="1" ht="29.25" customHeight="1">
      <c r="C2" s="145"/>
      <c r="F2" s="144" t="s">
        <v>1</v>
      </c>
      <c r="P2" s="146"/>
      <c r="Q2" s="146"/>
      <c r="Y2" s="146"/>
      <c r="Z2" s="146"/>
      <c r="AB2" s="147"/>
      <c r="AG2" s="148" t="s">
        <v>83</v>
      </c>
      <c r="AH2" s="148"/>
      <c r="AI2" s="148"/>
      <c r="AJ2" s="149"/>
      <c r="AK2" s="149"/>
      <c r="AL2" s="149"/>
      <c r="AM2" s="149"/>
      <c r="AN2" s="149"/>
      <c r="AO2" s="149"/>
      <c r="AP2" s="149"/>
      <c r="AQ2" s="149"/>
      <c r="AR2" s="149"/>
      <c r="AS2" s="149"/>
    </row>
    <row r="3" spans="2:45" s="144" customFormat="1" ht="25.5" customHeight="1">
      <c r="B3" s="150"/>
      <c r="C3" s="145"/>
      <c r="P3" s="146"/>
      <c r="Q3" s="146"/>
      <c r="Y3" s="146"/>
      <c r="Z3" s="146"/>
      <c r="AB3" s="147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</row>
    <row r="4" spans="2:45" s="144" customFormat="1" ht="13.5" customHeight="1">
      <c r="B4" s="150"/>
      <c r="C4" s="145"/>
      <c r="P4" s="146"/>
      <c r="Q4" s="146"/>
      <c r="Y4" s="146"/>
      <c r="Z4" s="146"/>
      <c r="AB4" s="147"/>
      <c r="AG4" s="151" t="s">
        <v>76</v>
      </c>
      <c r="AH4" s="151"/>
      <c r="AI4" s="145"/>
      <c r="AJ4" s="145"/>
      <c r="AK4" s="145"/>
      <c r="AL4" s="145"/>
      <c r="AM4" s="151"/>
      <c r="AN4" s="151"/>
      <c r="AO4" s="151"/>
      <c r="AP4" s="151"/>
      <c r="AQ4" s="151"/>
      <c r="AR4" s="145"/>
      <c r="AS4" s="145"/>
    </row>
    <row r="5" spans="2:45" s="144" customFormat="1" ht="13.5" customHeight="1">
      <c r="B5" s="150"/>
      <c r="C5" s="145"/>
      <c r="P5" s="146"/>
      <c r="Q5" s="146"/>
      <c r="Y5" s="146"/>
      <c r="Z5" s="146"/>
      <c r="AB5" s="147"/>
      <c r="AG5" s="151"/>
      <c r="AH5" s="151"/>
      <c r="AI5" s="145"/>
      <c r="AJ5" s="145"/>
      <c r="AK5" s="145"/>
      <c r="AL5" s="145"/>
      <c r="AM5" s="151"/>
      <c r="AN5" s="151"/>
      <c r="AO5" s="151"/>
      <c r="AP5" s="151"/>
      <c r="AQ5" s="151"/>
      <c r="AR5" s="145"/>
      <c r="AS5" s="145"/>
    </row>
    <row r="6" spans="2:49" s="144" customFormat="1" ht="13.5" customHeight="1">
      <c r="B6" s="150"/>
      <c r="C6" s="137" t="s">
        <v>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52"/>
      <c r="AR6" s="152"/>
      <c r="AS6" s="145"/>
      <c r="AW6" s="153"/>
    </row>
    <row r="7" spans="2:49" s="1" customFormat="1" ht="13.5" customHeight="1">
      <c r="B7" s="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31"/>
      <c r="AR7" s="66"/>
      <c r="AS7" s="65"/>
      <c r="AW7" s="5"/>
    </row>
    <row r="8" spans="2:45" s="1" customFormat="1" ht="50.25" customHeight="1">
      <c r="B8" s="3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31"/>
      <c r="AR8" s="66"/>
      <c r="AS8" s="65"/>
    </row>
    <row r="9" spans="3:28" s="1" customFormat="1" ht="13.5" customHeight="1">
      <c r="C9" s="6"/>
      <c r="P9" s="15"/>
      <c r="Q9" s="15"/>
      <c r="Y9" s="15"/>
      <c r="Z9" s="15"/>
      <c r="AB9" s="83"/>
    </row>
    <row r="10" spans="1:47" s="1" customFormat="1" ht="13.5" customHeight="1">
      <c r="A10" s="112" t="s">
        <v>3</v>
      </c>
      <c r="B10" s="115" t="s">
        <v>4</v>
      </c>
      <c r="C10" s="115" t="s">
        <v>5</v>
      </c>
      <c r="D10" s="118" t="s">
        <v>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121" t="s">
        <v>7</v>
      </c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10"/>
      <c r="AU10" s="111"/>
    </row>
    <row r="11" spans="1:47" s="1" customFormat="1" ht="13.5" customHeight="1">
      <c r="A11" s="113"/>
      <c r="B11" s="116"/>
      <c r="C11" s="116"/>
      <c r="D11" s="123" t="s">
        <v>8</v>
      </c>
      <c r="E11" s="126" t="s">
        <v>9</v>
      </c>
      <c r="F11" s="127"/>
      <c r="G11" s="128"/>
      <c r="H11" s="129" t="s">
        <v>10</v>
      </c>
      <c r="I11" s="130"/>
      <c r="J11" s="130"/>
      <c r="K11" s="130"/>
      <c r="L11" s="130"/>
      <c r="M11" s="130"/>
      <c r="N11" s="131"/>
      <c r="O11" s="124" t="s">
        <v>11</v>
      </c>
      <c r="P11" s="36"/>
      <c r="Q11" s="36"/>
      <c r="R11" s="126" t="s">
        <v>9</v>
      </c>
      <c r="S11" s="127"/>
      <c r="T11" s="127"/>
      <c r="U11" s="127"/>
      <c r="V11" s="127"/>
      <c r="W11" s="127"/>
      <c r="X11" s="127"/>
      <c r="Y11" s="127"/>
      <c r="Z11" s="128"/>
      <c r="AA11" s="47" t="s">
        <v>10</v>
      </c>
      <c r="AB11" s="84"/>
      <c r="AC11" s="140" t="s">
        <v>82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1"/>
    </row>
    <row r="12" spans="1:47" s="1" customFormat="1" ht="13.5" customHeight="1">
      <c r="A12" s="113"/>
      <c r="B12" s="116"/>
      <c r="C12" s="116"/>
      <c r="D12" s="124"/>
      <c r="E12" s="132" t="s">
        <v>12</v>
      </c>
      <c r="F12" s="143" t="s">
        <v>13</v>
      </c>
      <c r="G12" s="143" t="s">
        <v>14</v>
      </c>
      <c r="H12" s="34">
        <v>1</v>
      </c>
      <c r="I12" s="35">
        <v>2</v>
      </c>
      <c r="J12" s="35">
        <v>3</v>
      </c>
      <c r="K12" s="35">
        <v>4</v>
      </c>
      <c r="L12" s="35">
        <v>5</v>
      </c>
      <c r="M12" s="35">
        <v>6</v>
      </c>
      <c r="N12" s="35">
        <v>7</v>
      </c>
      <c r="O12" s="124"/>
      <c r="P12" s="36"/>
      <c r="Q12" s="36"/>
      <c r="R12" s="132" t="s">
        <v>12</v>
      </c>
      <c r="S12" s="37"/>
      <c r="T12" s="37"/>
      <c r="U12" s="132" t="s">
        <v>13</v>
      </c>
      <c r="V12" s="37"/>
      <c r="W12" s="80"/>
      <c r="X12" s="132" t="s">
        <v>14</v>
      </c>
      <c r="Y12" s="38"/>
      <c r="Z12" s="38"/>
      <c r="AA12" s="39">
        <v>1</v>
      </c>
      <c r="AB12" s="85"/>
      <c r="AC12" s="39">
        <v>1</v>
      </c>
      <c r="AD12" s="35">
        <v>2</v>
      </c>
      <c r="AE12" s="35"/>
      <c r="AF12" s="35">
        <v>2</v>
      </c>
      <c r="AG12" s="35">
        <v>3</v>
      </c>
      <c r="AH12" s="35"/>
      <c r="AI12" s="105">
        <v>3</v>
      </c>
      <c r="AJ12" s="105">
        <v>4</v>
      </c>
      <c r="AK12" s="105"/>
      <c r="AL12" s="105">
        <v>4</v>
      </c>
      <c r="AM12" s="35">
        <v>5</v>
      </c>
      <c r="AN12" s="35"/>
      <c r="AO12" s="35">
        <v>5</v>
      </c>
      <c r="AP12" s="35">
        <v>6</v>
      </c>
      <c r="AQ12" s="35"/>
      <c r="AR12" s="105">
        <v>6</v>
      </c>
      <c r="AS12" s="105">
        <v>7</v>
      </c>
      <c r="AT12" s="105">
        <v>7</v>
      </c>
      <c r="AU12" s="105">
        <v>7</v>
      </c>
    </row>
    <row r="13" spans="1:47" s="1" customFormat="1" ht="192.75" customHeight="1">
      <c r="A13" s="114"/>
      <c r="B13" s="117"/>
      <c r="C13" s="117"/>
      <c r="D13" s="125"/>
      <c r="E13" s="133"/>
      <c r="F13" s="133"/>
      <c r="G13" s="133"/>
      <c r="H13" s="40" t="s">
        <v>15</v>
      </c>
      <c r="I13" s="41" t="s">
        <v>16</v>
      </c>
      <c r="J13" s="41" t="s">
        <v>17</v>
      </c>
      <c r="K13" s="41" t="s">
        <v>18</v>
      </c>
      <c r="L13" s="41" t="s">
        <v>19</v>
      </c>
      <c r="M13" s="41" t="s">
        <v>20</v>
      </c>
      <c r="N13" s="42" t="s">
        <v>21</v>
      </c>
      <c r="O13" s="125"/>
      <c r="P13" s="43"/>
      <c r="Q13" s="43" t="s">
        <v>11</v>
      </c>
      <c r="R13" s="133"/>
      <c r="S13" s="44"/>
      <c r="T13" s="44" t="s">
        <v>12</v>
      </c>
      <c r="U13" s="133"/>
      <c r="V13" s="44"/>
      <c r="W13" s="81" t="s">
        <v>13</v>
      </c>
      <c r="X13" s="133"/>
      <c r="Y13" s="45"/>
      <c r="Z13" s="45" t="s">
        <v>14</v>
      </c>
      <c r="AA13" s="46" t="s">
        <v>15</v>
      </c>
      <c r="AB13" s="86"/>
      <c r="AC13" s="46" t="s">
        <v>15</v>
      </c>
      <c r="AD13" s="46" t="s">
        <v>16</v>
      </c>
      <c r="AE13" s="46"/>
      <c r="AF13" s="46" t="s">
        <v>16</v>
      </c>
      <c r="AG13" s="46" t="s">
        <v>17</v>
      </c>
      <c r="AH13" s="46"/>
      <c r="AI13" s="106" t="s">
        <v>17</v>
      </c>
      <c r="AJ13" s="106" t="s">
        <v>18</v>
      </c>
      <c r="AK13" s="106"/>
      <c r="AL13" s="106" t="s">
        <v>18</v>
      </c>
      <c r="AM13" s="46" t="s">
        <v>19</v>
      </c>
      <c r="AN13" s="46"/>
      <c r="AO13" s="46" t="s">
        <v>19</v>
      </c>
      <c r="AP13" s="46" t="s">
        <v>20</v>
      </c>
      <c r="AQ13" s="46"/>
      <c r="AR13" s="106" t="s">
        <v>20</v>
      </c>
      <c r="AS13" s="106" t="s">
        <v>21</v>
      </c>
      <c r="AT13" s="106" t="s">
        <v>21</v>
      </c>
      <c r="AU13" s="106" t="s">
        <v>21</v>
      </c>
    </row>
    <row r="14" spans="1:47" s="1" customFormat="1" ht="13.5" customHeight="1">
      <c r="A14" s="7">
        <v>1</v>
      </c>
      <c r="B14" s="8">
        <v>2</v>
      </c>
      <c r="C14" s="9">
        <v>3</v>
      </c>
      <c r="D14" s="10">
        <v>4</v>
      </c>
      <c r="E14" s="10">
        <v>5</v>
      </c>
      <c r="F14" s="10">
        <v>6</v>
      </c>
      <c r="G14" s="10">
        <v>7</v>
      </c>
      <c r="H14" s="11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4</v>
      </c>
      <c r="P14" s="12">
        <v>4</v>
      </c>
      <c r="Q14" s="12">
        <v>4</v>
      </c>
      <c r="R14" s="12">
        <v>5</v>
      </c>
      <c r="S14" s="12">
        <v>5</v>
      </c>
      <c r="T14" s="12">
        <v>5</v>
      </c>
      <c r="U14" s="12">
        <v>6</v>
      </c>
      <c r="V14" s="12"/>
      <c r="W14" s="12">
        <v>6</v>
      </c>
      <c r="X14" s="12">
        <v>7</v>
      </c>
      <c r="Y14" s="12">
        <v>7</v>
      </c>
      <c r="Z14" s="12">
        <v>7</v>
      </c>
      <c r="AA14" s="12">
        <v>8</v>
      </c>
      <c r="AB14" s="87">
        <v>8</v>
      </c>
      <c r="AC14" s="12">
        <v>8</v>
      </c>
      <c r="AD14" s="12">
        <v>9</v>
      </c>
      <c r="AE14" s="12">
        <v>9</v>
      </c>
      <c r="AF14" s="12">
        <v>9</v>
      </c>
      <c r="AG14" s="12">
        <v>10</v>
      </c>
      <c r="AH14" s="12">
        <v>10</v>
      </c>
      <c r="AI14" s="12">
        <v>10</v>
      </c>
      <c r="AJ14" s="12">
        <v>11</v>
      </c>
      <c r="AK14" s="12">
        <v>11</v>
      </c>
      <c r="AL14" s="12">
        <v>11</v>
      </c>
      <c r="AM14" s="12">
        <v>12</v>
      </c>
      <c r="AN14" s="12">
        <v>12</v>
      </c>
      <c r="AO14" s="12">
        <v>12</v>
      </c>
      <c r="AP14" s="12">
        <v>13</v>
      </c>
      <c r="AQ14" s="12">
        <v>13</v>
      </c>
      <c r="AR14" s="12">
        <v>13</v>
      </c>
      <c r="AS14" s="12">
        <v>14</v>
      </c>
      <c r="AT14" s="12">
        <v>14</v>
      </c>
      <c r="AU14" s="12">
        <v>14</v>
      </c>
    </row>
    <row r="15" spans="1:49" s="1" customFormat="1" ht="51.75">
      <c r="A15" s="13"/>
      <c r="B15" s="14">
        <v>1</v>
      </c>
      <c r="C15" s="67" t="s">
        <v>22</v>
      </c>
      <c r="D15" s="48">
        <v>34.65</v>
      </c>
      <c r="E15" s="49">
        <v>25.41</v>
      </c>
      <c r="F15" s="49">
        <v>4.62</v>
      </c>
      <c r="G15" s="49">
        <v>4.62</v>
      </c>
      <c r="H15" s="50">
        <v>4.7425</v>
      </c>
      <c r="I15" s="50">
        <v>9.15</v>
      </c>
      <c r="J15" s="50">
        <v>7.235</v>
      </c>
      <c r="K15" s="50">
        <v>3.545</v>
      </c>
      <c r="L15" s="50">
        <v>4.155</v>
      </c>
      <c r="M15" s="50">
        <v>4.91</v>
      </c>
      <c r="N15" s="50">
        <v>0.915</v>
      </c>
      <c r="O15" s="51">
        <v>24.16</v>
      </c>
      <c r="P15" s="52"/>
      <c r="Q15" s="68">
        <v>26.13</v>
      </c>
      <c r="R15" s="69">
        <f>O15-U15-X15</f>
        <v>18.34</v>
      </c>
      <c r="S15" s="69">
        <f>R15*0.038</f>
        <v>0.69692</v>
      </c>
      <c r="T15" s="69">
        <v>19.84</v>
      </c>
      <c r="U15" s="69">
        <v>2.6</v>
      </c>
      <c r="V15" s="69">
        <f>U15*0.038</f>
        <v>0.0988</v>
      </c>
      <c r="W15" s="69">
        <v>2.81</v>
      </c>
      <c r="X15" s="70">
        <v>3.22</v>
      </c>
      <c r="Y15" s="69">
        <f>X15*0.038</f>
        <v>0.12236000000000001</v>
      </c>
      <c r="Z15" s="69">
        <v>3.48</v>
      </c>
      <c r="AA15" s="69">
        <f>ROUND((O15-AJ15-AM15-AP15-AS15-AG15)*0.7,2)</f>
        <v>6.9</v>
      </c>
      <c r="AB15" s="88">
        <f>T15+W15+Z15</f>
        <v>26.13</v>
      </c>
      <c r="AC15" s="69">
        <v>7.47</v>
      </c>
      <c r="AD15" s="71">
        <f>ROUND(O15-AG15-AJ15-AM15-AP15-AS15-AA15,2)</f>
        <v>2.95</v>
      </c>
      <c r="AE15" s="71">
        <f>AD15*0.038</f>
        <v>0.1121</v>
      </c>
      <c r="AF15" s="71">
        <v>3.19</v>
      </c>
      <c r="AG15" s="71">
        <f>ROUND((O15-AJ15-AM15-AP15-AS15)*0.35,)</f>
        <v>5</v>
      </c>
      <c r="AH15" s="71">
        <f>AG15*0.038</f>
        <v>0.19</v>
      </c>
      <c r="AI15" s="71">
        <v>5.41</v>
      </c>
      <c r="AJ15" s="69">
        <v>2.19</v>
      </c>
      <c r="AK15" s="69">
        <f>AJ15*0.038</f>
        <v>0.08322</v>
      </c>
      <c r="AL15" s="69">
        <v>2.37</v>
      </c>
      <c r="AM15" s="71">
        <v>3.86</v>
      </c>
      <c r="AN15" s="71">
        <f>AM15*0.037</f>
        <v>0.14281999999999997</v>
      </c>
      <c r="AO15" s="71">
        <v>4.17</v>
      </c>
      <c r="AP15" s="69">
        <f aca="true" t="shared" si="0" ref="AP15:AP33">U15</f>
        <v>2.6</v>
      </c>
      <c r="AQ15" s="69">
        <f>AP15*0.037</f>
        <v>0.0962</v>
      </c>
      <c r="AR15" s="69">
        <v>2.81</v>
      </c>
      <c r="AS15" s="69">
        <v>0.66</v>
      </c>
      <c r="AT15" s="72">
        <f>AS15*0.037</f>
        <v>0.02442</v>
      </c>
      <c r="AU15" s="73">
        <v>0.71</v>
      </c>
      <c r="AV15" s="91">
        <f>AC15+AF15+AI15+AL15+AO15+AR15+AU15</f>
        <v>26.13</v>
      </c>
      <c r="AW15" s="16"/>
    </row>
    <row r="16" spans="1:48" s="1" customFormat="1" ht="42">
      <c r="A16" s="13"/>
      <c r="B16" s="14">
        <v>2</v>
      </c>
      <c r="C16" s="67" t="s">
        <v>23</v>
      </c>
      <c r="D16" s="48">
        <v>34.81</v>
      </c>
      <c r="E16" s="49">
        <v>27.53</v>
      </c>
      <c r="F16" s="49">
        <v>4.22</v>
      </c>
      <c r="G16" s="49">
        <v>3.06</v>
      </c>
      <c r="H16" s="50">
        <v>2.35</v>
      </c>
      <c r="I16" s="50">
        <v>11.76</v>
      </c>
      <c r="J16" s="50">
        <v>6.04</v>
      </c>
      <c r="K16" s="50">
        <v>3.045</v>
      </c>
      <c r="L16" s="50">
        <v>6.300000000000001</v>
      </c>
      <c r="M16" s="50">
        <v>2.785</v>
      </c>
      <c r="N16" s="50">
        <v>2.5250000000000004</v>
      </c>
      <c r="O16" s="51">
        <v>24.16</v>
      </c>
      <c r="P16" s="52"/>
      <c r="Q16" s="68">
        <v>26.13</v>
      </c>
      <c r="R16" s="69">
        <f aca="true" t="shared" si="1" ref="R16:R33">O16-U16-X16</f>
        <v>19.439999999999998</v>
      </c>
      <c r="S16" s="69">
        <f>R16*0.038</f>
        <v>0.7387199999999999</v>
      </c>
      <c r="T16" s="69">
        <v>21.03</v>
      </c>
      <c r="U16" s="69">
        <v>2.6</v>
      </c>
      <c r="V16" s="69">
        <f aca="true" t="shared" si="2" ref="V16:V33">U16*0.038</f>
        <v>0.0988</v>
      </c>
      <c r="W16" s="69">
        <v>2.81</v>
      </c>
      <c r="X16" s="70">
        <v>2.12</v>
      </c>
      <c r="Y16" s="69">
        <f>X16*0.038</f>
        <v>0.08056</v>
      </c>
      <c r="Z16" s="69">
        <v>2.29</v>
      </c>
      <c r="AA16" s="69">
        <f aca="true" t="shared" si="3" ref="AA16:AA42">ROUND((O16-AJ16-AM16-AP16-AS16-AG16)*0.7,2)</f>
        <v>6.54</v>
      </c>
      <c r="AB16" s="88">
        <f aca="true" t="shared" si="4" ref="AB16:AB33">T16+W16+Z16</f>
        <v>26.13</v>
      </c>
      <c r="AC16" s="69">
        <v>7.08</v>
      </c>
      <c r="AD16" s="71">
        <f aca="true" t="shared" si="5" ref="AD16:AD55">ROUND(O16-AG16-AJ16-AM16-AP16-AS16-AA16,2)</f>
        <v>2.8</v>
      </c>
      <c r="AE16" s="71">
        <f>AD16*0.038</f>
        <v>0.1064</v>
      </c>
      <c r="AF16" s="71">
        <v>3.02</v>
      </c>
      <c r="AG16" s="55">
        <f aca="true" t="shared" si="6" ref="AG16:AG55">ROUND((O16-AJ16-AM16-AP16-AS16)*0.35,)</f>
        <v>5</v>
      </c>
      <c r="AH16" s="55">
        <f>AG16*0.038</f>
        <v>0.19</v>
      </c>
      <c r="AI16" s="71">
        <v>5.41</v>
      </c>
      <c r="AJ16" s="69">
        <v>2.19</v>
      </c>
      <c r="AK16" s="69">
        <f>AJ16*0.038</f>
        <v>0.08322</v>
      </c>
      <c r="AL16" s="69">
        <v>2.37</v>
      </c>
      <c r="AM16" s="74">
        <f>0.694*L16</f>
        <v>4.3722</v>
      </c>
      <c r="AN16" s="71">
        <f aca="true" t="shared" si="7" ref="AN16:AN33">AM16*0.037</f>
        <v>0.1617714</v>
      </c>
      <c r="AO16" s="74">
        <v>4.73</v>
      </c>
      <c r="AP16" s="69">
        <f t="shared" si="0"/>
        <v>2.6</v>
      </c>
      <c r="AQ16" s="69">
        <f aca="true" t="shared" si="8" ref="AQ16:AQ33">AP16*0.038</f>
        <v>0.0988</v>
      </c>
      <c r="AR16" s="69">
        <v>2.81</v>
      </c>
      <c r="AS16" s="69">
        <v>0.66</v>
      </c>
      <c r="AT16" s="72">
        <f aca="true" t="shared" si="9" ref="AT16:AT33">AS16*0.037</f>
        <v>0.02442</v>
      </c>
      <c r="AU16" s="73">
        <v>0.71</v>
      </c>
      <c r="AV16" s="91">
        <f aca="true" t="shared" si="10" ref="AV16:AV55">AC16+AF16+AI16+AL16+AO16+AR16+AU16</f>
        <v>26.13</v>
      </c>
    </row>
    <row r="17" spans="1:48" s="19" customFormat="1" ht="51.75">
      <c r="A17" s="17"/>
      <c r="B17" s="18">
        <v>3</v>
      </c>
      <c r="C17" s="67" t="s">
        <v>24</v>
      </c>
      <c r="D17" s="48">
        <v>33.91</v>
      </c>
      <c r="E17" s="57">
        <v>24.7</v>
      </c>
      <c r="F17" s="49">
        <v>4.91</v>
      </c>
      <c r="G17" s="49">
        <v>4.3</v>
      </c>
      <c r="H17" s="50">
        <v>3.9233333333333333</v>
      </c>
      <c r="I17" s="50">
        <v>11.256666666666668</v>
      </c>
      <c r="J17" s="50">
        <v>9.313333333333334</v>
      </c>
      <c r="K17" s="50">
        <v>3.793333333333333</v>
      </c>
      <c r="L17" s="50">
        <v>0</v>
      </c>
      <c r="M17" s="50">
        <v>3.6666666666666665</v>
      </c>
      <c r="N17" s="50">
        <v>1.9533333333333338</v>
      </c>
      <c r="O17" s="51">
        <v>20.13</v>
      </c>
      <c r="P17" s="52"/>
      <c r="Q17" s="68">
        <v>21.77</v>
      </c>
      <c r="R17" s="69">
        <f t="shared" si="1"/>
        <v>14.979999999999997</v>
      </c>
      <c r="S17" s="69">
        <f aca="true" t="shared" si="11" ref="S17:S33">R17*0.038</f>
        <v>0.5692399999999999</v>
      </c>
      <c r="T17" s="69">
        <v>16.2</v>
      </c>
      <c r="U17" s="69">
        <v>2.6</v>
      </c>
      <c r="V17" s="69">
        <f t="shared" si="2"/>
        <v>0.0988</v>
      </c>
      <c r="W17" s="69">
        <v>2.81</v>
      </c>
      <c r="X17" s="70">
        <v>2.55</v>
      </c>
      <c r="Y17" s="69">
        <f aca="true" t="shared" si="12" ref="Y17:Y33">X17*0.038</f>
        <v>0.09689999999999999</v>
      </c>
      <c r="Z17" s="69">
        <v>2.76</v>
      </c>
      <c r="AA17" s="69">
        <f t="shared" si="3"/>
        <v>6.78</v>
      </c>
      <c r="AB17" s="88">
        <f t="shared" si="4"/>
        <v>21.769999999999996</v>
      </c>
      <c r="AC17" s="69">
        <v>7.33</v>
      </c>
      <c r="AD17" s="71">
        <f t="shared" si="5"/>
        <v>2.9</v>
      </c>
      <c r="AE17" s="71">
        <f aca="true" t="shared" si="13" ref="AE17:AE33">AD17*0.038</f>
        <v>0.11019999999999999</v>
      </c>
      <c r="AF17" s="71">
        <v>3.14</v>
      </c>
      <c r="AG17" s="71">
        <f t="shared" si="6"/>
        <v>5</v>
      </c>
      <c r="AH17" s="71">
        <f aca="true" t="shared" si="14" ref="AH17:AH33">AG17*0.038</f>
        <v>0.19</v>
      </c>
      <c r="AI17" s="71">
        <v>5.41</v>
      </c>
      <c r="AJ17" s="69">
        <v>2.19</v>
      </c>
      <c r="AK17" s="69">
        <f aca="true" t="shared" si="15" ref="AK17:AK33">AJ17*0.038</f>
        <v>0.08322</v>
      </c>
      <c r="AL17" s="69">
        <v>2.37</v>
      </c>
      <c r="AM17" s="69">
        <f>0.593*L17</f>
        <v>0</v>
      </c>
      <c r="AN17" s="71">
        <f t="shared" si="7"/>
        <v>0</v>
      </c>
      <c r="AO17" s="71">
        <f aca="true" t="shared" si="16" ref="AO17:AO33">AM17+AN17</f>
        <v>0</v>
      </c>
      <c r="AP17" s="69">
        <f t="shared" si="0"/>
        <v>2.6</v>
      </c>
      <c r="AQ17" s="69">
        <f t="shared" si="8"/>
        <v>0.0988</v>
      </c>
      <c r="AR17" s="69">
        <v>2.81</v>
      </c>
      <c r="AS17" s="69">
        <v>0.66</v>
      </c>
      <c r="AT17" s="72">
        <f t="shared" si="9"/>
        <v>0.02442</v>
      </c>
      <c r="AU17" s="73">
        <v>0.71</v>
      </c>
      <c r="AV17" s="91">
        <f t="shared" si="10"/>
        <v>21.77</v>
      </c>
    </row>
    <row r="18" spans="1:59" ht="51.75">
      <c r="A18" s="17"/>
      <c r="B18" s="18">
        <v>4</v>
      </c>
      <c r="C18" s="67" t="s">
        <v>25</v>
      </c>
      <c r="D18" s="58">
        <v>33.4</v>
      </c>
      <c r="E18" s="49">
        <v>24.91</v>
      </c>
      <c r="F18" s="49">
        <v>4.11</v>
      </c>
      <c r="G18" s="49">
        <v>4.38</v>
      </c>
      <c r="H18" s="50">
        <v>3.48</v>
      </c>
      <c r="I18" s="50">
        <v>11.63</v>
      </c>
      <c r="J18" s="50">
        <v>10.55</v>
      </c>
      <c r="K18" s="50">
        <v>2.97</v>
      </c>
      <c r="L18" s="50">
        <v>0</v>
      </c>
      <c r="M18" s="50">
        <v>4.11</v>
      </c>
      <c r="N18" s="50">
        <v>0.66</v>
      </c>
      <c r="O18" s="51">
        <v>19.64</v>
      </c>
      <c r="P18" s="52"/>
      <c r="Q18" s="68">
        <v>21.24</v>
      </c>
      <c r="R18" s="69">
        <f t="shared" si="1"/>
        <v>14.469999999999999</v>
      </c>
      <c r="S18" s="69">
        <f t="shared" si="11"/>
        <v>0.5498599999999999</v>
      </c>
      <c r="T18" s="69">
        <v>15.66</v>
      </c>
      <c r="U18" s="69">
        <v>2.6</v>
      </c>
      <c r="V18" s="69">
        <f t="shared" si="2"/>
        <v>0.0988</v>
      </c>
      <c r="W18" s="69">
        <v>2.81</v>
      </c>
      <c r="X18" s="70">
        <v>2.57</v>
      </c>
      <c r="Y18" s="69">
        <f t="shared" si="12"/>
        <v>0.09766</v>
      </c>
      <c r="Z18" s="69">
        <v>2.77</v>
      </c>
      <c r="AA18" s="69">
        <f>ROUND((O18-AJ18-AM18-AP18-AS18-AG18)*0.9,2)</f>
        <v>8.27</v>
      </c>
      <c r="AB18" s="88">
        <f t="shared" si="4"/>
        <v>21.24</v>
      </c>
      <c r="AC18" s="69">
        <v>8.95</v>
      </c>
      <c r="AD18" s="71">
        <f t="shared" si="5"/>
        <v>0.92</v>
      </c>
      <c r="AE18" s="71">
        <f t="shared" si="13"/>
        <v>0.03496</v>
      </c>
      <c r="AF18" s="71">
        <v>0.99</v>
      </c>
      <c r="AG18" s="71">
        <f t="shared" si="6"/>
        <v>5</v>
      </c>
      <c r="AH18" s="71">
        <f t="shared" si="14"/>
        <v>0.19</v>
      </c>
      <c r="AI18" s="71">
        <v>5.41</v>
      </c>
      <c r="AJ18" s="69">
        <v>2.19</v>
      </c>
      <c r="AK18" s="69">
        <f t="shared" si="15"/>
        <v>0.08322</v>
      </c>
      <c r="AL18" s="69">
        <v>2.37</v>
      </c>
      <c r="AM18" s="69">
        <f>0.588*L18</f>
        <v>0</v>
      </c>
      <c r="AN18" s="71">
        <f t="shared" si="7"/>
        <v>0</v>
      </c>
      <c r="AO18" s="74">
        <f t="shared" si="16"/>
        <v>0</v>
      </c>
      <c r="AP18" s="69">
        <f t="shared" si="0"/>
        <v>2.6</v>
      </c>
      <c r="AQ18" s="69">
        <f t="shared" si="8"/>
        <v>0.0988</v>
      </c>
      <c r="AR18" s="69">
        <v>2.81</v>
      </c>
      <c r="AS18" s="69">
        <v>0.66</v>
      </c>
      <c r="AT18" s="72">
        <f t="shared" si="9"/>
        <v>0.02442</v>
      </c>
      <c r="AU18" s="73">
        <v>0.71</v>
      </c>
      <c r="AV18" s="91">
        <f t="shared" si="10"/>
        <v>21.24</v>
      </c>
      <c r="AW18" s="19"/>
      <c r="AX18" s="20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48" s="1" customFormat="1" ht="51.75">
      <c r="A19" s="13"/>
      <c r="B19" s="14">
        <v>5</v>
      </c>
      <c r="C19" s="67" t="s">
        <v>26</v>
      </c>
      <c r="D19" s="75">
        <v>35.08</v>
      </c>
      <c r="E19" s="76">
        <v>24.84</v>
      </c>
      <c r="F19" s="76">
        <v>4.73</v>
      </c>
      <c r="G19" s="76">
        <v>5.51</v>
      </c>
      <c r="H19" s="77">
        <v>5.397499999999999</v>
      </c>
      <c r="I19" s="77">
        <v>8.0025</v>
      </c>
      <c r="J19" s="77">
        <v>8.767499999999998</v>
      </c>
      <c r="K19" s="77">
        <v>7.0825000000000005</v>
      </c>
      <c r="L19" s="77">
        <v>0</v>
      </c>
      <c r="M19" s="77">
        <v>4.0475</v>
      </c>
      <c r="N19" s="77">
        <v>1.7775000000000003</v>
      </c>
      <c r="O19" s="68">
        <v>20.13</v>
      </c>
      <c r="P19" s="68"/>
      <c r="Q19" s="68">
        <v>21.77</v>
      </c>
      <c r="R19" s="69">
        <f t="shared" si="1"/>
        <v>14.359999999999998</v>
      </c>
      <c r="S19" s="69">
        <f t="shared" si="11"/>
        <v>0.5456799999999999</v>
      </c>
      <c r="T19" s="69">
        <v>15.53</v>
      </c>
      <c r="U19" s="69">
        <v>2.6</v>
      </c>
      <c r="V19" s="69">
        <f t="shared" si="2"/>
        <v>0.0988</v>
      </c>
      <c r="W19" s="69">
        <v>2.81</v>
      </c>
      <c r="X19" s="70">
        <v>3.17</v>
      </c>
      <c r="Y19" s="69">
        <f t="shared" si="12"/>
        <v>0.12046</v>
      </c>
      <c r="Z19" s="69">
        <v>3.43</v>
      </c>
      <c r="AA19" s="69">
        <f t="shared" si="3"/>
        <v>6.78</v>
      </c>
      <c r="AB19" s="88">
        <f t="shared" si="4"/>
        <v>21.77</v>
      </c>
      <c r="AC19" s="69">
        <v>7.33</v>
      </c>
      <c r="AD19" s="71">
        <f t="shared" si="5"/>
        <v>2.9</v>
      </c>
      <c r="AE19" s="71">
        <f t="shared" si="13"/>
        <v>0.11019999999999999</v>
      </c>
      <c r="AF19" s="71">
        <v>3.14</v>
      </c>
      <c r="AG19" s="71">
        <f t="shared" si="6"/>
        <v>5</v>
      </c>
      <c r="AH19" s="71">
        <f t="shared" si="14"/>
        <v>0.19</v>
      </c>
      <c r="AI19" s="71">
        <v>5.41</v>
      </c>
      <c r="AJ19" s="69">
        <v>2.19</v>
      </c>
      <c r="AK19" s="69">
        <f t="shared" si="15"/>
        <v>0.08322</v>
      </c>
      <c r="AL19" s="69">
        <v>2.37</v>
      </c>
      <c r="AM19" s="69">
        <f>0.573*L19</f>
        <v>0</v>
      </c>
      <c r="AN19" s="71">
        <f t="shared" si="7"/>
        <v>0</v>
      </c>
      <c r="AO19" s="71">
        <f t="shared" si="16"/>
        <v>0</v>
      </c>
      <c r="AP19" s="69">
        <f t="shared" si="0"/>
        <v>2.6</v>
      </c>
      <c r="AQ19" s="69">
        <f t="shared" si="8"/>
        <v>0.0988</v>
      </c>
      <c r="AR19" s="69">
        <v>2.81</v>
      </c>
      <c r="AS19" s="69">
        <v>0.66</v>
      </c>
      <c r="AT19" s="72">
        <f t="shared" si="9"/>
        <v>0.02442</v>
      </c>
      <c r="AU19" s="73">
        <v>0.71</v>
      </c>
      <c r="AV19" s="91">
        <f t="shared" si="10"/>
        <v>21.77</v>
      </c>
    </row>
    <row r="20" spans="1:59" ht="51.75">
      <c r="A20" s="17"/>
      <c r="B20" s="18">
        <v>6</v>
      </c>
      <c r="C20" s="67" t="s">
        <v>27</v>
      </c>
      <c r="D20" s="75">
        <v>34.26</v>
      </c>
      <c r="E20" s="76">
        <v>22.24</v>
      </c>
      <c r="F20" s="76">
        <v>4.12</v>
      </c>
      <c r="G20" s="76">
        <v>7.91</v>
      </c>
      <c r="H20" s="77">
        <v>7.35</v>
      </c>
      <c r="I20" s="77">
        <v>6.32</v>
      </c>
      <c r="J20" s="77">
        <v>9.495000000000001</v>
      </c>
      <c r="K20" s="77">
        <v>6.24</v>
      </c>
      <c r="L20" s="77">
        <v>0</v>
      </c>
      <c r="M20" s="77">
        <v>4.115</v>
      </c>
      <c r="N20" s="77">
        <v>0.74</v>
      </c>
      <c r="O20" s="78">
        <v>19.64</v>
      </c>
      <c r="P20" s="68"/>
      <c r="Q20" s="68">
        <v>21.24</v>
      </c>
      <c r="R20" s="69">
        <f t="shared" si="1"/>
        <v>12.5</v>
      </c>
      <c r="S20" s="69">
        <f t="shared" si="11"/>
        <v>0.475</v>
      </c>
      <c r="T20" s="69">
        <v>13.52</v>
      </c>
      <c r="U20" s="69">
        <v>2.6</v>
      </c>
      <c r="V20" s="69">
        <f t="shared" si="2"/>
        <v>0.0988</v>
      </c>
      <c r="W20" s="69">
        <v>2.81</v>
      </c>
      <c r="X20" s="70">
        <v>4.54</v>
      </c>
      <c r="Y20" s="69">
        <f t="shared" si="12"/>
        <v>0.17252</v>
      </c>
      <c r="Z20" s="69">
        <v>4.91</v>
      </c>
      <c r="AA20" s="69">
        <f>ROUND((O20-AJ20-AM20-AP20-AS20-AG20)*0.9,2)</f>
        <v>8.27</v>
      </c>
      <c r="AB20" s="88">
        <f t="shared" si="4"/>
        <v>21.24</v>
      </c>
      <c r="AC20" s="69">
        <v>8.95</v>
      </c>
      <c r="AD20" s="71">
        <f t="shared" si="5"/>
        <v>0.92</v>
      </c>
      <c r="AE20" s="71">
        <f t="shared" si="13"/>
        <v>0.03496</v>
      </c>
      <c r="AF20" s="71">
        <v>0.99</v>
      </c>
      <c r="AG20" s="71">
        <f t="shared" si="6"/>
        <v>5</v>
      </c>
      <c r="AH20" s="71">
        <f t="shared" si="14"/>
        <v>0.19</v>
      </c>
      <c r="AI20" s="71">
        <v>5.41</v>
      </c>
      <c r="AJ20" s="69">
        <v>2.19</v>
      </c>
      <c r="AK20" s="69">
        <f t="shared" si="15"/>
        <v>0.08322</v>
      </c>
      <c r="AL20" s="69">
        <v>2.37</v>
      </c>
      <c r="AM20" s="69">
        <f>0.573*L20</f>
        <v>0</v>
      </c>
      <c r="AN20" s="71">
        <f t="shared" si="7"/>
        <v>0</v>
      </c>
      <c r="AO20" s="74">
        <f t="shared" si="16"/>
        <v>0</v>
      </c>
      <c r="AP20" s="69">
        <f t="shared" si="0"/>
        <v>2.6</v>
      </c>
      <c r="AQ20" s="69">
        <f t="shared" si="8"/>
        <v>0.0988</v>
      </c>
      <c r="AR20" s="69">
        <v>2.81</v>
      </c>
      <c r="AS20" s="69">
        <v>0.66</v>
      </c>
      <c r="AT20" s="72">
        <f t="shared" si="9"/>
        <v>0.02442</v>
      </c>
      <c r="AU20" s="73">
        <v>0.71</v>
      </c>
      <c r="AV20" s="91">
        <f t="shared" si="10"/>
        <v>21.24</v>
      </c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</row>
    <row r="21" spans="1:59" ht="51.75">
      <c r="A21" s="17"/>
      <c r="B21" s="18">
        <v>7</v>
      </c>
      <c r="C21" s="67" t="s">
        <v>28</v>
      </c>
      <c r="D21" s="75">
        <v>31.87</v>
      </c>
      <c r="E21" s="76">
        <v>20.16</v>
      </c>
      <c r="F21" s="76">
        <v>5.32</v>
      </c>
      <c r="G21" s="76">
        <v>6.39</v>
      </c>
      <c r="H21" s="77">
        <v>5.66</v>
      </c>
      <c r="I21" s="77">
        <v>5.88</v>
      </c>
      <c r="J21" s="77">
        <v>10.129999999999999</v>
      </c>
      <c r="K21" s="77">
        <v>3.8499999999999996</v>
      </c>
      <c r="L21" s="77">
        <v>0</v>
      </c>
      <c r="M21" s="77">
        <v>5.32</v>
      </c>
      <c r="N21" s="77">
        <v>1.03</v>
      </c>
      <c r="O21" s="78">
        <v>19.64</v>
      </c>
      <c r="P21" s="68"/>
      <c r="Q21" s="68">
        <v>21.24</v>
      </c>
      <c r="R21" s="69">
        <f t="shared" si="1"/>
        <v>13.1</v>
      </c>
      <c r="S21" s="69">
        <f t="shared" si="11"/>
        <v>0.49779999999999996</v>
      </c>
      <c r="T21" s="69">
        <v>14.16</v>
      </c>
      <c r="U21" s="69">
        <v>2.6</v>
      </c>
      <c r="V21" s="69">
        <f t="shared" si="2"/>
        <v>0.0988</v>
      </c>
      <c r="W21" s="69">
        <v>2.81</v>
      </c>
      <c r="X21" s="70">
        <v>3.94</v>
      </c>
      <c r="Y21" s="69">
        <f t="shared" si="12"/>
        <v>0.14972</v>
      </c>
      <c r="Z21" s="69">
        <v>4.27</v>
      </c>
      <c r="AA21" s="69">
        <f>ROUND((O21-AJ21-AM21-AP21-AS21-AG21)*0.9,2)</f>
        <v>8.27</v>
      </c>
      <c r="AB21" s="88">
        <f t="shared" si="4"/>
        <v>21.24</v>
      </c>
      <c r="AC21" s="69">
        <v>8.95</v>
      </c>
      <c r="AD21" s="71">
        <f t="shared" si="5"/>
        <v>0.92</v>
      </c>
      <c r="AE21" s="71">
        <f t="shared" si="13"/>
        <v>0.03496</v>
      </c>
      <c r="AF21" s="71">
        <v>0.99</v>
      </c>
      <c r="AG21" s="71">
        <f t="shared" si="6"/>
        <v>5</v>
      </c>
      <c r="AH21" s="71">
        <f t="shared" si="14"/>
        <v>0.19</v>
      </c>
      <c r="AI21" s="71">
        <v>5.41</v>
      </c>
      <c r="AJ21" s="69">
        <v>2.19</v>
      </c>
      <c r="AK21" s="69">
        <f t="shared" si="15"/>
        <v>0.08322</v>
      </c>
      <c r="AL21" s="69">
        <v>2.37</v>
      </c>
      <c r="AM21" s="69">
        <f>0.616*L21</f>
        <v>0</v>
      </c>
      <c r="AN21" s="71">
        <f t="shared" si="7"/>
        <v>0</v>
      </c>
      <c r="AO21" s="71">
        <f t="shared" si="16"/>
        <v>0</v>
      </c>
      <c r="AP21" s="69">
        <f t="shared" si="0"/>
        <v>2.6</v>
      </c>
      <c r="AQ21" s="69">
        <f t="shared" si="8"/>
        <v>0.0988</v>
      </c>
      <c r="AR21" s="69">
        <v>2.81</v>
      </c>
      <c r="AS21" s="69">
        <v>0.66</v>
      </c>
      <c r="AT21" s="72">
        <f t="shared" si="9"/>
        <v>0.02442</v>
      </c>
      <c r="AU21" s="73">
        <v>0.71</v>
      </c>
      <c r="AV21" s="91">
        <f t="shared" si="10"/>
        <v>21.24</v>
      </c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48" s="1" customFormat="1" ht="51.75">
      <c r="A22" s="13"/>
      <c r="B22" s="14">
        <v>8</v>
      </c>
      <c r="C22" s="67" t="s">
        <v>29</v>
      </c>
      <c r="D22" s="79">
        <v>35.3</v>
      </c>
      <c r="E22" s="76">
        <v>23.41</v>
      </c>
      <c r="F22" s="76">
        <v>4.83</v>
      </c>
      <c r="G22" s="76">
        <v>7.06</v>
      </c>
      <c r="H22" s="77">
        <v>6.74</v>
      </c>
      <c r="I22" s="77">
        <v>8.825000000000001</v>
      </c>
      <c r="J22" s="77">
        <v>10.725000000000001</v>
      </c>
      <c r="K22" s="77">
        <v>3.2525000000000004</v>
      </c>
      <c r="L22" s="77">
        <v>0</v>
      </c>
      <c r="M22" s="77">
        <v>4.04</v>
      </c>
      <c r="N22" s="77">
        <v>1.7175</v>
      </c>
      <c r="O22" s="78">
        <v>20.13</v>
      </c>
      <c r="P22" s="68"/>
      <c r="Q22" s="68">
        <v>21.77</v>
      </c>
      <c r="R22" s="69">
        <f t="shared" si="1"/>
        <v>13.489999999999998</v>
      </c>
      <c r="S22" s="69">
        <f t="shared" si="11"/>
        <v>0.51262</v>
      </c>
      <c r="T22" s="69">
        <v>14.59</v>
      </c>
      <c r="U22" s="69">
        <v>2.6</v>
      </c>
      <c r="V22" s="69">
        <f t="shared" si="2"/>
        <v>0.0988</v>
      </c>
      <c r="W22" s="69">
        <v>2.81</v>
      </c>
      <c r="X22" s="70">
        <v>4.04</v>
      </c>
      <c r="Y22" s="69">
        <f t="shared" si="12"/>
        <v>0.15352</v>
      </c>
      <c r="Z22" s="69">
        <v>4.37</v>
      </c>
      <c r="AA22" s="69">
        <f t="shared" si="3"/>
        <v>6.78</v>
      </c>
      <c r="AB22" s="88">
        <f t="shared" si="4"/>
        <v>21.77</v>
      </c>
      <c r="AC22" s="69">
        <v>7.33</v>
      </c>
      <c r="AD22" s="71">
        <f t="shared" si="5"/>
        <v>2.9</v>
      </c>
      <c r="AE22" s="71">
        <f t="shared" si="13"/>
        <v>0.11019999999999999</v>
      </c>
      <c r="AF22" s="71">
        <v>3.14</v>
      </c>
      <c r="AG22" s="71">
        <f t="shared" si="6"/>
        <v>5</v>
      </c>
      <c r="AH22" s="71">
        <f t="shared" si="14"/>
        <v>0.19</v>
      </c>
      <c r="AI22" s="71">
        <v>5.41</v>
      </c>
      <c r="AJ22" s="69">
        <v>2.19</v>
      </c>
      <c r="AK22" s="69">
        <f t="shared" si="15"/>
        <v>0.08322</v>
      </c>
      <c r="AL22" s="69">
        <v>2.37</v>
      </c>
      <c r="AM22" s="69">
        <f>0.57*L22</f>
        <v>0</v>
      </c>
      <c r="AN22" s="71">
        <f t="shared" si="7"/>
        <v>0</v>
      </c>
      <c r="AO22" s="74">
        <f t="shared" si="16"/>
        <v>0</v>
      </c>
      <c r="AP22" s="69">
        <f t="shared" si="0"/>
        <v>2.6</v>
      </c>
      <c r="AQ22" s="69">
        <f t="shared" si="8"/>
        <v>0.0988</v>
      </c>
      <c r="AR22" s="69">
        <v>2.81</v>
      </c>
      <c r="AS22" s="69">
        <v>0.66</v>
      </c>
      <c r="AT22" s="72">
        <f t="shared" si="9"/>
        <v>0.02442</v>
      </c>
      <c r="AU22" s="73">
        <v>0.71</v>
      </c>
      <c r="AV22" s="91">
        <f t="shared" si="10"/>
        <v>21.77</v>
      </c>
    </row>
    <row r="23" spans="1:50" s="1" customFormat="1" ht="42">
      <c r="A23" s="13"/>
      <c r="B23" s="14">
        <v>9</v>
      </c>
      <c r="C23" s="67" t="s">
        <v>30</v>
      </c>
      <c r="D23" s="75">
        <v>35.34</v>
      </c>
      <c r="E23" s="76">
        <v>26.76</v>
      </c>
      <c r="F23" s="76">
        <v>4.47</v>
      </c>
      <c r="G23" s="76">
        <v>4.11</v>
      </c>
      <c r="H23" s="77">
        <v>3.46</v>
      </c>
      <c r="I23" s="77">
        <v>10.44</v>
      </c>
      <c r="J23" s="77">
        <v>13.7</v>
      </c>
      <c r="K23" s="77">
        <v>2.97</v>
      </c>
      <c r="L23" s="77">
        <v>0</v>
      </c>
      <c r="M23" s="77">
        <v>4.11</v>
      </c>
      <c r="N23" s="77">
        <v>0.66</v>
      </c>
      <c r="O23" s="78">
        <v>20.13</v>
      </c>
      <c r="P23" s="68"/>
      <c r="Q23" s="68">
        <v>21.77</v>
      </c>
      <c r="R23" s="69">
        <f t="shared" si="1"/>
        <v>15.199999999999998</v>
      </c>
      <c r="S23" s="69">
        <f t="shared" si="11"/>
        <v>0.5775999999999999</v>
      </c>
      <c r="T23" s="69">
        <v>16.44</v>
      </c>
      <c r="U23" s="69">
        <v>2.6</v>
      </c>
      <c r="V23" s="69">
        <f t="shared" si="2"/>
        <v>0.0988</v>
      </c>
      <c r="W23" s="69">
        <v>2.81</v>
      </c>
      <c r="X23" s="70">
        <v>2.33</v>
      </c>
      <c r="Y23" s="69">
        <f t="shared" si="12"/>
        <v>0.08854</v>
      </c>
      <c r="Z23" s="69">
        <v>2.52</v>
      </c>
      <c r="AA23" s="69">
        <f t="shared" si="3"/>
        <v>6.78</v>
      </c>
      <c r="AB23" s="88">
        <f t="shared" si="4"/>
        <v>21.77</v>
      </c>
      <c r="AC23" s="69">
        <v>7.33</v>
      </c>
      <c r="AD23" s="71">
        <f t="shared" si="5"/>
        <v>2.9</v>
      </c>
      <c r="AE23" s="71">
        <f t="shared" si="13"/>
        <v>0.11019999999999999</v>
      </c>
      <c r="AF23" s="71">
        <v>3.14</v>
      </c>
      <c r="AG23" s="71">
        <f t="shared" si="6"/>
        <v>5</v>
      </c>
      <c r="AH23" s="71">
        <f t="shared" si="14"/>
        <v>0.19</v>
      </c>
      <c r="AI23" s="71">
        <v>5.41</v>
      </c>
      <c r="AJ23" s="69">
        <v>2.19</v>
      </c>
      <c r="AK23" s="69">
        <f t="shared" si="15"/>
        <v>0.08322</v>
      </c>
      <c r="AL23" s="69">
        <v>2.37</v>
      </c>
      <c r="AM23" s="69">
        <f>0.57*L23</f>
        <v>0</v>
      </c>
      <c r="AN23" s="71">
        <f t="shared" si="7"/>
        <v>0</v>
      </c>
      <c r="AO23" s="71">
        <f t="shared" si="16"/>
        <v>0</v>
      </c>
      <c r="AP23" s="69">
        <f t="shared" si="0"/>
        <v>2.6</v>
      </c>
      <c r="AQ23" s="69">
        <f t="shared" si="8"/>
        <v>0.0988</v>
      </c>
      <c r="AR23" s="69">
        <v>2.81</v>
      </c>
      <c r="AS23" s="69">
        <v>0.66</v>
      </c>
      <c r="AT23" s="72">
        <f t="shared" si="9"/>
        <v>0.02442</v>
      </c>
      <c r="AU23" s="73">
        <v>0.71</v>
      </c>
      <c r="AV23" s="91">
        <f t="shared" si="10"/>
        <v>21.77</v>
      </c>
      <c r="AW23" s="21"/>
      <c r="AX23" s="22"/>
    </row>
    <row r="24" spans="1:48" s="1" customFormat="1" ht="51.75">
      <c r="A24" s="13"/>
      <c r="B24" s="14">
        <v>10</v>
      </c>
      <c r="C24" s="67" t="s">
        <v>31</v>
      </c>
      <c r="D24" s="75">
        <v>47.45</v>
      </c>
      <c r="E24" s="76">
        <v>31.99</v>
      </c>
      <c r="F24" s="76">
        <v>5.75</v>
      </c>
      <c r="G24" s="76">
        <v>9.72</v>
      </c>
      <c r="H24" s="77">
        <v>10.005</v>
      </c>
      <c r="I24" s="77">
        <v>14.965</v>
      </c>
      <c r="J24" s="77">
        <v>12.725000000000001</v>
      </c>
      <c r="K24" s="77">
        <v>4.215</v>
      </c>
      <c r="L24" s="77">
        <v>0</v>
      </c>
      <c r="M24" s="77">
        <v>4.77</v>
      </c>
      <c r="N24" s="77">
        <v>0.77</v>
      </c>
      <c r="O24" s="78">
        <v>20.13</v>
      </c>
      <c r="P24" s="68"/>
      <c r="Q24" s="68">
        <v>21.77</v>
      </c>
      <c r="R24" s="69">
        <f t="shared" si="1"/>
        <v>13.409999999999997</v>
      </c>
      <c r="S24" s="69">
        <f t="shared" si="11"/>
        <v>0.5095799999999998</v>
      </c>
      <c r="T24" s="69">
        <v>14.51</v>
      </c>
      <c r="U24" s="69">
        <v>2.6</v>
      </c>
      <c r="V24" s="69">
        <f t="shared" si="2"/>
        <v>0.0988</v>
      </c>
      <c r="W24" s="69">
        <v>2.81</v>
      </c>
      <c r="X24" s="70">
        <v>4.12</v>
      </c>
      <c r="Y24" s="69">
        <f t="shared" si="12"/>
        <v>0.15656</v>
      </c>
      <c r="Z24" s="69">
        <v>4.45</v>
      </c>
      <c r="AA24" s="69">
        <f t="shared" si="3"/>
        <v>6.78</v>
      </c>
      <c r="AB24" s="88">
        <f t="shared" si="4"/>
        <v>21.77</v>
      </c>
      <c r="AC24" s="69">
        <v>7.33</v>
      </c>
      <c r="AD24" s="71">
        <f t="shared" si="5"/>
        <v>2.9</v>
      </c>
      <c r="AE24" s="71">
        <f t="shared" si="13"/>
        <v>0.11019999999999999</v>
      </c>
      <c r="AF24" s="71">
        <v>3.14</v>
      </c>
      <c r="AG24" s="71">
        <f t="shared" si="6"/>
        <v>5</v>
      </c>
      <c r="AH24" s="71">
        <f t="shared" si="14"/>
        <v>0.19</v>
      </c>
      <c r="AI24" s="71">
        <v>5.41</v>
      </c>
      <c r="AJ24" s="69">
        <v>2.19</v>
      </c>
      <c r="AK24" s="69">
        <f t="shared" si="15"/>
        <v>0.08322</v>
      </c>
      <c r="AL24" s="69">
        <v>2.37</v>
      </c>
      <c r="AM24" s="69">
        <f>0.35*L24</f>
        <v>0</v>
      </c>
      <c r="AN24" s="71">
        <f t="shared" si="7"/>
        <v>0</v>
      </c>
      <c r="AO24" s="74">
        <f t="shared" si="16"/>
        <v>0</v>
      </c>
      <c r="AP24" s="69">
        <f t="shared" si="0"/>
        <v>2.6</v>
      </c>
      <c r="AQ24" s="69">
        <f t="shared" si="8"/>
        <v>0.0988</v>
      </c>
      <c r="AR24" s="69">
        <v>2.81</v>
      </c>
      <c r="AS24" s="69">
        <v>0.66</v>
      </c>
      <c r="AT24" s="72">
        <f t="shared" si="9"/>
        <v>0.02442</v>
      </c>
      <c r="AU24" s="73">
        <v>0.71</v>
      </c>
      <c r="AV24" s="91">
        <f t="shared" si="10"/>
        <v>21.77</v>
      </c>
    </row>
    <row r="25" spans="1:48" s="1" customFormat="1" ht="51.75">
      <c r="A25" s="13"/>
      <c r="B25" s="14">
        <v>11</v>
      </c>
      <c r="C25" s="67" t="s">
        <v>32</v>
      </c>
      <c r="D25" s="75">
        <v>46.3</v>
      </c>
      <c r="E25" s="76">
        <v>35.95</v>
      </c>
      <c r="F25" s="76">
        <v>6.24</v>
      </c>
      <c r="G25" s="76">
        <v>4.11</v>
      </c>
      <c r="H25" s="77">
        <v>6.07</v>
      </c>
      <c r="I25" s="77">
        <v>16.12</v>
      </c>
      <c r="J25" s="77">
        <v>16.04</v>
      </c>
      <c r="K25" s="77">
        <v>3.3</v>
      </c>
      <c r="L25" s="77">
        <v>0</v>
      </c>
      <c r="M25" s="77">
        <v>4.11</v>
      </c>
      <c r="N25" s="77">
        <v>0.66</v>
      </c>
      <c r="O25" s="78">
        <v>20.13</v>
      </c>
      <c r="P25" s="68"/>
      <c r="Q25" s="68">
        <v>21.77</v>
      </c>
      <c r="R25" s="69">
        <f t="shared" si="1"/>
        <v>15.729999999999997</v>
      </c>
      <c r="S25" s="69">
        <f t="shared" si="11"/>
        <v>0.5977399999999998</v>
      </c>
      <c r="T25" s="69">
        <v>17.01</v>
      </c>
      <c r="U25" s="53">
        <v>2.6</v>
      </c>
      <c r="V25" s="53">
        <f t="shared" si="2"/>
        <v>0.0988</v>
      </c>
      <c r="W25" s="69">
        <v>2.81</v>
      </c>
      <c r="X25" s="53">
        <v>1.8</v>
      </c>
      <c r="Y25" s="53">
        <f t="shared" si="12"/>
        <v>0.0684</v>
      </c>
      <c r="Z25" s="69">
        <v>1.95</v>
      </c>
      <c r="AA25" s="53">
        <f t="shared" si="3"/>
        <v>6.78</v>
      </c>
      <c r="AB25" s="88">
        <f t="shared" si="4"/>
        <v>21.77</v>
      </c>
      <c r="AC25" s="69">
        <v>7.33</v>
      </c>
      <c r="AD25" s="71">
        <f t="shared" si="5"/>
        <v>2.9</v>
      </c>
      <c r="AE25" s="71">
        <f t="shared" si="13"/>
        <v>0.11019999999999999</v>
      </c>
      <c r="AF25" s="71">
        <v>3.14</v>
      </c>
      <c r="AG25" s="55">
        <f t="shared" si="6"/>
        <v>5</v>
      </c>
      <c r="AH25" s="55">
        <f t="shared" si="14"/>
        <v>0.19</v>
      </c>
      <c r="AI25" s="71">
        <v>5.41</v>
      </c>
      <c r="AJ25" s="69">
        <v>2.19</v>
      </c>
      <c r="AK25" s="69">
        <f t="shared" si="15"/>
        <v>0.08322</v>
      </c>
      <c r="AL25" s="69">
        <v>2.37</v>
      </c>
      <c r="AM25" s="53">
        <f>0.434*L25</f>
        <v>0</v>
      </c>
      <c r="AN25" s="55">
        <f t="shared" si="7"/>
        <v>0</v>
      </c>
      <c r="AO25" s="71">
        <f t="shared" si="16"/>
        <v>0</v>
      </c>
      <c r="AP25" s="53">
        <f t="shared" si="0"/>
        <v>2.6</v>
      </c>
      <c r="AQ25" s="53">
        <f t="shared" si="8"/>
        <v>0.0988</v>
      </c>
      <c r="AR25" s="69">
        <v>2.81</v>
      </c>
      <c r="AS25" s="69">
        <v>0.66</v>
      </c>
      <c r="AT25" s="72">
        <f t="shared" si="9"/>
        <v>0.02442</v>
      </c>
      <c r="AU25" s="73">
        <v>0.71</v>
      </c>
      <c r="AV25" s="91">
        <f t="shared" si="10"/>
        <v>21.77</v>
      </c>
    </row>
    <row r="26" spans="1:48" s="1" customFormat="1" ht="31.5">
      <c r="A26" s="13"/>
      <c r="B26" s="14">
        <v>12</v>
      </c>
      <c r="C26" s="67" t="s">
        <v>33</v>
      </c>
      <c r="D26" s="75">
        <v>34.63</v>
      </c>
      <c r="E26" s="76">
        <v>22.57</v>
      </c>
      <c r="F26" s="76">
        <v>5.04</v>
      </c>
      <c r="G26" s="76">
        <v>7.03</v>
      </c>
      <c r="H26" s="77">
        <v>7.3100000000000005</v>
      </c>
      <c r="I26" s="77">
        <v>9.9</v>
      </c>
      <c r="J26" s="77">
        <v>9.09</v>
      </c>
      <c r="K26" s="77">
        <v>2.355</v>
      </c>
      <c r="L26" s="77">
        <v>0</v>
      </c>
      <c r="M26" s="77">
        <v>5.035</v>
      </c>
      <c r="N26" s="77">
        <v>0.94</v>
      </c>
      <c r="O26" s="78">
        <v>20.13</v>
      </c>
      <c r="P26" s="68"/>
      <c r="Q26" s="68">
        <v>21.77</v>
      </c>
      <c r="R26" s="69">
        <f t="shared" si="1"/>
        <v>13.439999999999998</v>
      </c>
      <c r="S26" s="69">
        <f t="shared" si="11"/>
        <v>0.51072</v>
      </c>
      <c r="T26" s="69">
        <v>14.54</v>
      </c>
      <c r="U26" s="53">
        <v>2.6</v>
      </c>
      <c r="V26" s="53">
        <f t="shared" si="2"/>
        <v>0.0988</v>
      </c>
      <c r="W26" s="69">
        <v>2.81</v>
      </c>
      <c r="X26" s="54">
        <v>4.09</v>
      </c>
      <c r="Y26" s="53">
        <f t="shared" si="12"/>
        <v>0.15542</v>
      </c>
      <c r="Z26" s="69">
        <v>4.42</v>
      </c>
      <c r="AA26" s="53">
        <f t="shared" si="3"/>
        <v>6.78</v>
      </c>
      <c r="AB26" s="88">
        <f t="shared" si="4"/>
        <v>21.769999999999996</v>
      </c>
      <c r="AC26" s="69">
        <v>7.33</v>
      </c>
      <c r="AD26" s="71">
        <f t="shared" si="5"/>
        <v>2.9</v>
      </c>
      <c r="AE26" s="71">
        <f t="shared" si="13"/>
        <v>0.11019999999999999</v>
      </c>
      <c r="AF26" s="71">
        <v>3.14</v>
      </c>
      <c r="AG26" s="55">
        <f t="shared" si="6"/>
        <v>5</v>
      </c>
      <c r="AH26" s="55">
        <f t="shared" si="14"/>
        <v>0.19</v>
      </c>
      <c r="AI26" s="71">
        <v>5.41</v>
      </c>
      <c r="AJ26" s="69">
        <v>2.19</v>
      </c>
      <c r="AK26" s="69">
        <f t="shared" si="15"/>
        <v>0.08322</v>
      </c>
      <c r="AL26" s="69">
        <v>2.37</v>
      </c>
      <c r="AM26" s="53">
        <f>0.581*L26</f>
        <v>0</v>
      </c>
      <c r="AN26" s="55">
        <f t="shared" si="7"/>
        <v>0</v>
      </c>
      <c r="AO26" s="74">
        <f t="shared" si="16"/>
        <v>0</v>
      </c>
      <c r="AP26" s="53">
        <f t="shared" si="0"/>
        <v>2.6</v>
      </c>
      <c r="AQ26" s="53">
        <f t="shared" si="8"/>
        <v>0.0988</v>
      </c>
      <c r="AR26" s="69">
        <v>2.81</v>
      </c>
      <c r="AS26" s="69">
        <v>0.66</v>
      </c>
      <c r="AT26" s="72">
        <f t="shared" si="9"/>
        <v>0.02442</v>
      </c>
      <c r="AU26" s="73">
        <v>0.71</v>
      </c>
      <c r="AV26" s="91">
        <f t="shared" si="10"/>
        <v>21.77</v>
      </c>
    </row>
    <row r="27" spans="1:59" ht="42">
      <c r="A27" s="17"/>
      <c r="B27" s="18">
        <v>13</v>
      </c>
      <c r="C27" s="67" t="s">
        <v>34</v>
      </c>
      <c r="D27" s="75">
        <v>25.24</v>
      </c>
      <c r="E27" s="76">
        <v>18.22</v>
      </c>
      <c r="F27" s="76">
        <v>3.32</v>
      </c>
      <c r="G27" s="92">
        <v>3.7</v>
      </c>
      <c r="H27" s="77">
        <v>4.07</v>
      </c>
      <c r="I27" s="77">
        <v>7.036</v>
      </c>
      <c r="J27" s="77">
        <v>8.096</v>
      </c>
      <c r="K27" s="77">
        <v>2.1020000000000003</v>
      </c>
      <c r="L27" s="77">
        <v>0</v>
      </c>
      <c r="M27" s="77">
        <v>3.248</v>
      </c>
      <c r="N27" s="77">
        <v>0.6839999999999999</v>
      </c>
      <c r="O27" s="78">
        <v>19.64</v>
      </c>
      <c r="P27" s="68"/>
      <c r="Q27" s="68">
        <v>21.24</v>
      </c>
      <c r="R27" s="69">
        <f t="shared" si="1"/>
        <v>14.09</v>
      </c>
      <c r="S27" s="69">
        <f t="shared" si="11"/>
        <v>0.53542</v>
      </c>
      <c r="T27" s="69">
        <v>15.24</v>
      </c>
      <c r="U27" s="53">
        <v>2.6</v>
      </c>
      <c r="V27" s="53">
        <f t="shared" si="2"/>
        <v>0.0988</v>
      </c>
      <c r="W27" s="69">
        <v>2.81</v>
      </c>
      <c r="X27" s="54">
        <v>2.95</v>
      </c>
      <c r="Y27" s="53">
        <f t="shared" si="12"/>
        <v>0.1121</v>
      </c>
      <c r="Z27" s="69">
        <v>3.19</v>
      </c>
      <c r="AA27" s="53">
        <f>ROUND((O27-AJ27-AM27-AP27-AS27-AG27)*0.9,2)</f>
        <v>8.27</v>
      </c>
      <c r="AB27" s="88">
        <f t="shared" si="4"/>
        <v>21.240000000000002</v>
      </c>
      <c r="AC27" s="69">
        <v>8.95</v>
      </c>
      <c r="AD27" s="71">
        <f t="shared" si="5"/>
        <v>0.92</v>
      </c>
      <c r="AE27" s="71">
        <f t="shared" si="13"/>
        <v>0.03496</v>
      </c>
      <c r="AF27" s="71">
        <v>0.99</v>
      </c>
      <c r="AG27" s="55">
        <f t="shared" si="6"/>
        <v>5</v>
      </c>
      <c r="AH27" s="55">
        <f t="shared" si="14"/>
        <v>0.19</v>
      </c>
      <c r="AI27" s="71">
        <v>5.41</v>
      </c>
      <c r="AJ27" s="69">
        <v>2.19</v>
      </c>
      <c r="AK27" s="69">
        <f t="shared" si="15"/>
        <v>0.08322</v>
      </c>
      <c r="AL27" s="69">
        <v>2.37</v>
      </c>
      <c r="AM27" s="53">
        <f>0.775*L27</f>
        <v>0</v>
      </c>
      <c r="AN27" s="55">
        <f t="shared" si="7"/>
        <v>0</v>
      </c>
      <c r="AO27" s="71">
        <f t="shared" si="16"/>
        <v>0</v>
      </c>
      <c r="AP27" s="53">
        <f t="shared" si="0"/>
        <v>2.6</v>
      </c>
      <c r="AQ27" s="53">
        <f t="shared" si="8"/>
        <v>0.0988</v>
      </c>
      <c r="AR27" s="69">
        <v>2.81</v>
      </c>
      <c r="AS27" s="69">
        <v>0.66</v>
      </c>
      <c r="AT27" s="72">
        <f t="shared" si="9"/>
        <v>0.02442</v>
      </c>
      <c r="AU27" s="73">
        <v>0.71</v>
      </c>
      <c r="AV27" s="91">
        <f t="shared" si="10"/>
        <v>21.24</v>
      </c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</row>
    <row r="28" spans="1:59" ht="42">
      <c r="A28" s="17"/>
      <c r="B28" s="18">
        <v>14</v>
      </c>
      <c r="C28" s="67" t="s">
        <v>35</v>
      </c>
      <c r="D28" s="75">
        <v>31.41</v>
      </c>
      <c r="E28" s="76">
        <v>24.96</v>
      </c>
      <c r="F28" s="76">
        <v>3.83</v>
      </c>
      <c r="G28" s="76">
        <v>0.87</v>
      </c>
      <c r="H28" s="77">
        <v>2.39</v>
      </c>
      <c r="I28" s="77">
        <v>6.27</v>
      </c>
      <c r="J28" s="77">
        <v>13.094999999999999</v>
      </c>
      <c r="K28" s="77">
        <v>5.4</v>
      </c>
      <c r="L28" s="77">
        <v>0</v>
      </c>
      <c r="M28" s="77">
        <v>3.6450000000000005</v>
      </c>
      <c r="N28" s="77">
        <v>0.605</v>
      </c>
      <c r="O28" s="78">
        <v>19.64</v>
      </c>
      <c r="P28" s="68"/>
      <c r="Q28" s="68">
        <v>21.24</v>
      </c>
      <c r="R28" s="69">
        <f t="shared" si="1"/>
        <v>15.389999999999999</v>
      </c>
      <c r="S28" s="69">
        <f t="shared" si="11"/>
        <v>0.5848199999999999</v>
      </c>
      <c r="T28" s="69">
        <v>16.65</v>
      </c>
      <c r="U28" s="53">
        <v>2.6</v>
      </c>
      <c r="V28" s="53">
        <f t="shared" si="2"/>
        <v>0.0988</v>
      </c>
      <c r="W28" s="69">
        <v>2.81</v>
      </c>
      <c r="X28" s="54">
        <v>1.65</v>
      </c>
      <c r="Y28" s="53">
        <f t="shared" si="12"/>
        <v>0.06269999999999999</v>
      </c>
      <c r="Z28" s="69">
        <v>1.78</v>
      </c>
      <c r="AA28" s="53">
        <f>ROUND((O28-AJ28-AM28-AP28-AS28-AG28)*0.9,2)</f>
        <v>8.27</v>
      </c>
      <c r="AB28" s="88">
        <f t="shared" si="4"/>
        <v>21.24</v>
      </c>
      <c r="AC28" s="69">
        <v>8.95</v>
      </c>
      <c r="AD28" s="71">
        <f t="shared" si="5"/>
        <v>0.92</v>
      </c>
      <c r="AE28" s="71">
        <f t="shared" si="13"/>
        <v>0.03496</v>
      </c>
      <c r="AF28" s="71">
        <v>0.99</v>
      </c>
      <c r="AG28" s="55">
        <f t="shared" si="6"/>
        <v>5</v>
      </c>
      <c r="AH28" s="55">
        <f t="shared" si="14"/>
        <v>0.19</v>
      </c>
      <c r="AI28" s="71">
        <v>5.41</v>
      </c>
      <c r="AJ28" s="69">
        <v>2.19</v>
      </c>
      <c r="AK28" s="69">
        <f t="shared" si="15"/>
        <v>0.08322</v>
      </c>
      <c r="AL28" s="69">
        <v>2.37</v>
      </c>
      <c r="AM28" s="53">
        <f>0.625*L28</f>
        <v>0</v>
      </c>
      <c r="AN28" s="55">
        <f t="shared" si="7"/>
        <v>0</v>
      </c>
      <c r="AO28" s="74">
        <f t="shared" si="16"/>
        <v>0</v>
      </c>
      <c r="AP28" s="53">
        <f t="shared" si="0"/>
        <v>2.6</v>
      </c>
      <c r="AQ28" s="53">
        <f t="shared" si="8"/>
        <v>0.0988</v>
      </c>
      <c r="AR28" s="69">
        <v>2.81</v>
      </c>
      <c r="AS28" s="69">
        <v>0.66</v>
      </c>
      <c r="AT28" s="72">
        <f t="shared" si="9"/>
        <v>0.02442</v>
      </c>
      <c r="AU28" s="73">
        <v>0.71</v>
      </c>
      <c r="AV28" s="91">
        <f t="shared" si="10"/>
        <v>21.24</v>
      </c>
      <c r="AW28" s="23"/>
      <c r="AX28" s="19"/>
      <c r="AY28" s="19"/>
      <c r="AZ28" s="19"/>
      <c r="BA28" s="19"/>
      <c r="BB28" s="19"/>
      <c r="BC28" s="19"/>
      <c r="BD28" s="19"/>
      <c r="BE28" s="19"/>
      <c r="BF28" s="19"/>
      <c r="BG28" s="19"/>
    </row>
    <row r="29" spans="1:48" s="1" customFormat="1" ht="42">
      <c r="A29" s="13"/>
      <c r="B29" s="14">
        <v>15</v>
      </c>
      <c r="C29" s="67" t="s">
        <v>36</v>
      </c>
      <c r="D29" s="75">
        <v>45.24</v>
      </c>
      <c r="E29" s="76">
        <v>35.07</v>
      </c>
      <c r="F29" s="76">
        <v>6.06</v>
      </c>
      <c r="G29" s="76">
        <v>4.11</v>
      </c>
      <c r="H29" s="77">
        <v>6.04</v>
      </c>
      <c r="I29" s="77">
        <v>20.42</v>
      </c>
      <c r="J29" s="77">
        <v>10.71</v>
      </c>
      <c r="K29" s="77">
        <v>3.3</v>
      </c>
      <c r="L29" s="77">
        <v>0</v>
      </c>
      <c r="M29" s="77">
        <v>4.11</v>
      </c>
      <c r="N29" s="77">
        <v>0.66</v>
      </c>
      <c r="O29" s="78">
        <v>20.13</v>
      </c>
      <c r="P29" s="68"/>
      <c r="Q29" s="68">
        <v>21.77</v>
      </c>
      <c r="R29" s="69">
        <f t="shared" si="1"/>
        <v>15.689999999999998</v>
      </c>
      <c r="S29" s="69">
        <f t="shared" si="11"/>
        <v>0.5962199999999999</v>
      </c>
      <c r="T29" s="69">
        <v>16.97</v>
      </c>
      <c r="U29" s="53">
        <v>2.6</v>
      </c>
      <c r="V29" s="53">
        <f t="shared" si="2"/>
        <v>0.0988</v>
      </c>
      <c r="W29" s="69">
        <v>2.81</v>
      </c>
      <c r="X29" s="54">
        <v>1.84</v>
      </c>
      <c r="Y29" s="53">
        <f t="shared" si="12"/>
        <v>0.06992</v>
      </c>
      <c r="Z29" s="69">
        <v>1.99</v>
      </c>
      <c r="AA29" s="53">
        <f t="shared" si="3"/>
        <v>6.78</v>
      </c>
      <c r="AB29" s="88">
        <f t="shared" si="4"/>
        <v>21.769999999999996</v>
      </c>
      <c r="AC29" s="69">
        <v>7.33</v>
      </c>
      <c r="AD29" s="71">
        <f t="shared" si="5"/>
        <v>2.9</v>
      </c>
      <c r="AE29" s="71">
        <f t="shared" si="13"/>
        <v>0.11019999999999999</v>
      </c>
      <c r="AF29" s="71">
        <v>3.14</v>
      </c>
      <c r="AG29" s="55">
        <f t="shared" si="6"/>
        <v>5</v>
      </c>
      <c r="AH29" s="55">
        <f t="shared" si="14"/>
        <v>0.19</v>
      </c>
      <c r="AI29" s="71">
        <v>5.41</v>
      </c>
      <c r="AJ29" s="69">
        <v>2.19</v>
      </c>
      <c r="AK29" s="69">
        <f t="shared" si="15"/>
        <v>0.08322</v>
      </c>
      <c r="AL29" s="69">
        <v>2.37</v>
      </c>
      <c r="AM29" s="53">
        <f>0.445*L29</f>
        <v>0</v>
      </c>
      <c r="AN29" s="55">
        <f t="shared" si="7"/>
        <v>0</v>
      </c>
      <c r="AO29" s="71">
        <f t="shared" si="16"/>
        <v>0</v>
      </c>
      <c r="AP29" s="53">
        <f t="shared" si="0"/>
        <v>2.6</v>
      </c>
      <c r="AQ29" s="53">
        <f t="shared" si="8"/>
        <v>0.0988</v>
      </c>
      <c r="AR29" s="69">
        <v>2.81</v>
      </c>
      <c r="AS29" s="69">
        <v>0.66</v>
      </c>
      <c r="AT29" s="72">
        <f t="shared" si="9"/>
        <v>0.02442</v>
      </c>
      <c r="AU29" s="73">
        <v>0.71</v>
      </c>
      <c r="AV29" s="91">
        <f t="shared" si="10"/>
        <v>21.77</v>
      </c>
    </row>
    <row r="30" spans="1:59" ht="42">
      <c r="A30" s="17"/>
      <c r="B30" s="18">
        <v>16</v>
      </c>
      <c r="C30" s="67" t="s">
        <v>37</v>
      </c>
      <c r="D30" s="75">
        <v>32.61</v>
      </c>
      <c r="E30" s="76">
        <v>23.38</v>
      </c>
      <c r="F30" s="76">
        <v>3.53</v>
      </c>
      <c r="G30" s="76">
        <v>5.71</v>
      </c>
      <c r="H30" s="77">
        <v>5.35</v>
      </c>
      <c r="I30" s="77">
        <v>9.43</v>
      </c>
      <c r="J30" s="77">
        <v>8.805</v>
      </c>
      <c r="K30" s="77">
        <v>4.91</v>
      </c>
      <c r="L30" s="77">
        <v>0</v>
      </c>
      <c r="M30" s="77">
        <v>3.345</v>
      </c>
      <c r="N30" s="77">
        <v>0.77</v>
      </c>
      <c r="O30" s="78">
        <v>19.64</v>
      </c>
      <c r="P30" s="68"/>
      <c r="Q30" s="68">
        <v>21.24</v>
      </c>
      <c r="R30" s="69">
        <f t="shared" si="1"/>
        <v>13.59</v>
      </c>
      <c r="S30" s="69">
        <f t="shared" si="11"/>
        <v>0.51642</v>
      </c>
      <c r="T30" s="69">
        <v>14.7</v>
      </c>
      <c r="U30" s="53">
        <v>2.6</v>
      </c>
      <c r="V30" s="53">
        <f t="shared" si="2"/>
        <v>0.0988</v>
      </c>
      <c r="W30" s="69">
        <v>2.81</v>
      </c>
      <c r="X30" s="54">
        <v>3.45</v>
      </c>
      <c r="Y30" s="53">
        <f t="shared" si="12"/>
        <v>0.1311</v>
      </c>
      <c r="Z30" s="69">
        <v>3.73</v>
      </c>
      <c r="AA30" s="53">
        <f>ROUND((O30-AJ30-AM30-AP30-AS30-AG30)*0.9,2)</f>
        <v>8.27</v>
      </c>
      <c r="AB30" s="88">
        <f t="shared" si="4"/>
        <v>21.24</v>
      </c>
      <c r="AC30" s="69">
        <v>8.95</v>
      </c>
      <c r="AD30" s="71">
        <f t="shared" si="5"/>
        <v>0.92</v>
      </c>
      <c r="AE30" s="71">
        <f t="shared" si="13"/>
        <v>0.03496</v>
      </c>
      <c r="AF30" s="71">
        <v>0.99</v>
      </c>
      <c r="AG30" s="55">
        <f t="shared" si="6"/>
        <v>5</v>
      </c>
      <c r="AH30" s="55">
        <f t="shared" si="14"/>
        <v>0.19</v>
      </c>
      <c r="AI30" s="71">
        <v>5.41</v>
      </c>
      <c r="AJ30" s="69">
        <v>2.19</v>
      </c>
      <c r="AK30" s="69">
        <f t="shared" si="15"/>
        <v>0.08322</v>
      </c>
      <c r="AL30" s="69">
        <v>2.37</v>
      </c>
      <c r="AM30" s="53">
        <f>0.602*L30</f>
        <v>0</v>
      </c>
      <c r="AN30" s="55">
        <f t="shared" si="7"/>
        <v>0</v>
      </c>
      <c r="AO30" s="74">
        <f t="shared" si="16"/>
        <v>0</v>
      </c>
      <c r="AP30" s="53">
        <f t="shared" si="0"/>
        <v>2.6</v>
      </c>
      <c r="AQ30" s="53">
        <f t="shared" si="8"/>
        <v>0.0988</v>
      </c>
      <c r="AR30" s="69">
        <v>2.81</v>
      </c>
      <c r="AS30" s="69">
        <v>0.66</v>
      </c>
      <c r="AT30" s="72">
        <f t="shared" si="9"/>
        <v>0.02442</v>
      </c>
      <c r="AU30" s="73">
        <v>0.71</v>
      </c>
      <c r="AV30" s="91">
        <f t="shared" si="10"/>
        <v>21.24</v>
      </c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</row>
    <row r="31" spans="1:59" ht="42">
      <c r="A31" s="17"/>
      <c r="B31" s="18">
        <v>17</v>
      </c>
      <c r="C31" s="67" t="s">
        <v>38</v>
      </c>
      <c r="D31" s="79">
        <v>15.7</v>
      </c>
      <c r="E31" s="76">
        <v>9.66</v>
      </c>
      <c r="F31" s="76">
        <v>1.93</v>
      </c>
      <c r="G31" s="76">
        <v>4.11</v>
      </c>
      <c r="H31" s="77">
        <v>1.27</v>
      </c>
      <c r="I31" s="77">
        <v>0.65</v>
      </c>
      <c r="J31" s="77">
        <v>9.01</v>
      </c>
      <c r="K31" s="77">
        <v>0</v>
      </c>
      <c r="L31" s="77">
        <v>0</v>
      </c>
      <c r="M31" s="77">
        <v>4.11</v>
      </c>
      <c r="N31" s="77">
        <v>0.66</v>
      </c>
      <c r="O31" s="93">
        <v>17.89</v>
      </c>
      <c r="P31" s="68"/>
      <c r="Q31" s="68">
        <v>19.34</v>
      </c>
      <c r="R31" s="69">
        <f t="shared" si="1"/>
        <v>13.360000000000001</v>
      </c>
      <c r="S31" s="69">
        <f t="shared" si="11"/>
        <v>0.50768</v>
      </c>
      <c r="T31" s="69">
        <v>14.44</v>
      </c>
      <c r="U31" s="53">
        <v>2.6</v>
      </c>
      <c r="V31" s="53">
        <f t="shared" si="2"/>
        <v>0.0988</v>
      </c>
      <c r="W31" s="69">
        <v>2.81</v>
      </c>
      <c r="X31" s="59">
        <v>1.93</v>
      </c>
      <c r="Y31" s="53">
        <f t="shared" si="12"/>
        <v>0.07334</v>
      </c>
      <c r="Z31" s="69">
        <v>2.09</v>
      </c>
      <c r="AA31" s="53">
        <f>ROUND((O31-AJ31-AM31-AP31-AS31-AG31)*0.9,2)</f>
        <v>7.6</v>
      </c>
      <c r="AB31" s="88">
        <f t="shared" si="4"/>
        <v>19.34</v>
      </c>
      <c r="AC31" s="69">
        <v>8.21</v>
      </c>
      <c r="AD31" s="71">
        <f t="shared" si="5"/>
        <v>0.84</v>
      </c>
      <c r="AE31" s="71">
        <f t="shared" si="13"/>
        <v>0.03192</v>
      </c>
      <c r="AF31" s="71">
        <v>0.91</v>
      </c>
      <c r="AG31" s="55">
        <f t="shared" si="6"/>
        <v>4</v>
      </c>
      <c r="AH31" s="55">
        <f t="shared" si="14"/>
        <v>0.152</v>
      </c>
      <c r="AI31" s="71">
        <v>4.33</v>
      </c>
      <c r="AJ31" s="74">
        <v>2.19</v>
      </c>
      <c r="AK31" s="69">
        <f t="shared" si="15"/>
        <v>0.08322</v>
      </c>
      <c r="AL31" s="69">
        <v>2.37</v>
      </c>
      <c r="AM31" s="60">
        <v>0</v>
      </c>
      <c r="AN31" s="55">
        <f t="shared" si="7"/>
        <v>0</v>
      </c>
      <c r="AO31" s="71">
        <f t="shared" si="16"/>
        <v>0</v>
      </c>
      <c r="AP31" s="53">
        <f t="shared" si="0"/>
        <v>2.6</v>
      </c>
      <c r="AQ31" s="53">
        <f t="shared" si="8"/>
        <v>0.0988</v>
      </c>
      <c r="AR31" s="69">
        <v>2.81</v>
      </c>
      <c r="AS31" s="69">
        <v>0.66</v>
      </c>
      <c r="AT31" s="72">
        <f t="shared" si="9"/>
        <v>0.02442</v>
      </c>
      <c r="AU31" s="73">
        <v>0.71</v>
      </c>
      <c r="AV31" s="91">
        <f t="shared" si="10"/>
        <v>19.34</v>
      </c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</row>
    <row r="32" spans="1:48" s="1" customFormat="1" ht="51.75">
      <c r="A32" s="13"/>
      <c r="B32" s="14">
        <v>18</v>
      </c>
      <c r="C32" s="67" t="s">
        <v>39</v>
      </c>
      <c r="D32" s="75">
        <v>44.41</v>
      </c>
      <c r="E32" s="76">
        <v>34.37</v>
      </c>
      <c r="F32" s="76">
        <v>5.93</v>
      </c>
      <c r="G32" s="76">
        <v>4.11</v>
      </c>
      <c r="H32" s="77">
        <v>6.01</v>
      </c>
      <c r="I32" s="77">
        <v>7.4</v>
      </c>
      <c r="J32" s="77">
        <v>22.93</v>
      </c>
      <c r="K32" s="77">
        <v>3.3</v>
      </c>
      <c r="L32" s="77">
        <v>0</v>
      </c>
      <c r="M32" s="77">
        <v>4.11</v>
      </c>
      <c r="N32" s="77">
        <v>0.66</v>
      </c>
      <c r="O32" s="78">
        <v>19.88</v>
      </c>
      <c r="P32" s="68"/>
      <c r="Q32" s="68">
        <v>21.49</v>
      </c>
      <c r="R32" s="69">
        <f t="shared" si="1"/>
        <v>15.439999999999998</v>
      </c>
      <c r="S32" s="69">
        <f t="shared" si="11"/>
        <v>0.5867199999999999</v>
      </c>
      <c r="T32" s="69">
        <v>16.69</v>
      </c>
      <c r="U32" s="53">
        <v>2.6</v>
      </c>
      <c r="V32" s="53">
        <f t="shared" si="2"/>
        <v>0.0988</v>
      </c>
      <c r="W32" s="69">
        <v>2.81</v>
      </c>
      <c r="X32" s="54">
        <v>1.84</v>
      </c>
      <c r="Y32" s="53">
        <f t="shared" si="12"/>
        <v>0.06992</v>
      </c>
      <c r="Z32" s="69">
        <v>1.99</v>
      </c>
      <c r="AA32" s="53">
        <f t="shared" si="3"/>
        <v>6.6</v>
      </c>
      <c r="AB32" s="88">
        <f t="shared" si="4"/>
        <v>21.49</v>
      </c>
      <c r="AC32" s="69">
        <v>7.13</v>
      </c>
      <c r="AD32" s="71">
        <f t="shared" si="5"/>
        <v>2.83</v>
      </c>
      <c r="AE32" s="71">
        <f t="shared" si="13"/>
        <v>0.10754</v>
      </c>
      <c r="AF32" s="71">
        <v>3.06</v>
      </c>
      <c r="AG32" s="55">
        <f t="shared" si="6"/>
        <v>5</v>
      </c>
      <c r="AH32" s="55">
        <f t="shared" si="14"/>
        <v>0.19</v>
      </c>
      <c r="AI32" s="71">
        <v>5.41</v>
      </c>
      <c r="AJ32" s="107">
        <v>2.19</v>
      </c>
      <c r="AK32" s="69">
        <f t="shared" si="15"/>
        <v>0.08322</v>
      </c>
      <c r="AL32" s="69">
        <v>2.37</v>
      </c>
      <c r="AM32" s="60">
        <f>0.447*L32</f>
        <v>0</v>
      </c>
      <c r="AN32" s="55">
        <f t="shared" si="7"/>
        <v>0</v>
      </c>
      <c r="AO32" s="74">
        <f t="shared" si="16"/>
        <v>0</v>
      </c>
      <c r="AP32" s="53">
        <f t="shared" si="0"/>
        <v>2.6</v>
      </c>
      <c r="AQ32" s="53">
        <f t="shared" si="8"/>
        <v>0.0988</v>
      </c>
      <c r="AR32" s="69">
        <v>2.81</v>
      </c>
      <c r="AS32" s="69">
        <v>0.66</v>
      </c>
      <c r="AT32" s="72">
        <f t="shared" si="9"/>
        <v>0.02442</v>
      </c>
      <c r="AU32" s="73">
        <v>0.71</v>
      </c>
      <c r="AV32" s="91">
        <f t="shared" si="10"/>
        <v>21.49</v>
      </c>
    </row>
    <row r="33" spans="1:59" ht="42">
      <c r="A33" s="17"/>
      <c r="B33" s="18">
        <v>19</v>
      </c>
      <c r="C33" s="67" t="s">
        <v>40</v>
      </c>
      <c r="D33" s="75">
        <v>22.17</v>
      </c>
      <c r="E33" s="76">
        <v>15.35</v>
      </c>
      <c r="F33" s="76">
        <v>2.25</v>
      </c>
      <c r="G33" s="76">
        <v>4.61</v>
      </c>
      <c r="H33" s="77">
        <v>3.7</v>
      </c>
      <c r="I33" s="77">
        <v>2.1550000000000002</v>
      </c>
      <c r="J33" s="77">
        <v>12.21</v>
      </c>
      <c r="K33" s="77">
        <v>0</v>
      </c>
      <c r="L33" s="77">
        <v>0</v>
      </c>
      <c r="M33" s="77">
        <v>3.335</v>
      </c>
      <c r="N33" s="77">
        <v>0.77</v>
      </c>
      <c r="O33" s="78">
        <v>19.39</v>
      </c>
      <c r="P33" s="68"/>
      <c r="Q33" s="68">
        <v>20.96</v>
      </c>
      <c r="R33" s="69">
        <f t="shared" si="1"/>
        <v>12.79</v>
      </c>
      <c r="S33" s="69">
        <f t="shared" si="11"/>
        <v>0.48601999999999995</v>
      </c>
      <c r="T33" s="69">
        <v>13.83</v>
      </c>
      <c r="U33" s="53">
        <v>2.6</v>
      </c>
      <c r="V33" s="53">
        <f t="shared" si="2"/>
        <v>0.0988</v>
      </c>
      <c r="W33" s="69">
        <v>2.81</v>
      </c>
      <c r="X33" s="53">
        <v>4</v>
      </c>
      <c r="Y33" s="53">
        <f t="shared" si="12"/>
        <v>0.152</v>
      </c>
      <c r="Z33" s="69">
        <v>4.32</v>
      </c>
      <c r="AA33" s="53">
        <f>ROUND((O33-AJ33-AM33-AP33-AS33-AG33)*0.9,2)</f>
        <v>8.05</v>
      </c>
      <c r="AB33" s="88">
        <f t="shared" si="4"/>
        <v>20.96</v>
      </c>
      <c r="AC33" s="69">
        <v>8.7</v>
      </c>
      <c r="AD33" s="71">
        <f t="shared" si="5"/>
        <v>0.89</v>
      </c>
      <c r="AE33" s="71">
        <f t="shared" si="13"/>
        <v>0.03382</v>
      </c>
      <c r="AF33" s="71">
        <v>0.96</v>
      </c>
      <c r="AG33" s="55">
        <f t="shared" si="6"/>
        <v>5</v>
      </c>
      <c r="AH33" s="55">
        <f t="shared" si="14"/>
        <v>0.19</v>
      </c>
      <c r="AI33" s="71">
        <v>5.41</v>
      </c>
      <c r="AJ33" s="107">
        <v>2.19</v>
      </c>
      <c r="AK33" s="69">
        <f t="shared" si="15"/>
        <v>0.08322</v>
      </c>
      <c r="AL33" s="69">
        <v>2.37</v>
      </c>
      <c r="AM33" s="60">
        <f>0.874*L33</f>
        <v>0</v>
      </c>
      <c r="AN33" s="55">
        <f t="shared" si="7"/>
        <v>0</v>
      </c>
      <c r="AO33" s="71">
        <f t="shared" si="16"/>
        <v>0</v>
      </c>
      <c r="AP33" s="53">
        <f t="shared" si="0"/>
        <v>2.6</v>
      </c>
      <c r="AQ33" s="53">
        <f t="shared" si="8"/>
        <v>0.0988</v>
      </c>
      <c r="AR33" s="69">
        <v>2.81</v>
      </c>
      <c r="AS33" s="69">
        <v>0.66</v>
      </c>
      <c r="AT33" s="72">
        <f t="shared" si="9"/>
        <v>0.02442</v>
      </c>
      <c r="AU33" s="73">
        <v>0.71</v>
      </c>
      <c r="AV33" s="91">
        <f t="shared" si="10"/>
        <v>20.96</v>
      </c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</row>
    <row r="34" spans="1:59" ht="14.25">
      <c r="A34" s="17"/>
      <c r="B34" s="18">
        <v>20</v>
      </c>
      <c r="C34" s="134" t="s">
        <v>41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73"/>
      <c r="AU34" s="73">
        <f>AS34+AT34</f>
        <v>0</v>
      </c>
      <c r="AV34" s="91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</row>
    <row r="35" spans="1:48" s="1" customFormat="1" ht="39" customHeight="1">
      <c r="A35" s="13"/>
      <c r="B35" s="24">
        <v>21</v>
      </c>
      <c r="C35" s="67" t="s">
        <v>42</v>
      </c>
      <c r="D35" s="75"/>
      <c r="E35" s="76"/>
      <c r="F35" s="76"/>
      <c r="G35" s="76"/>
      <c r="H35" s="77"/>
      <c r="I35" s="77"/>
      <c r="J35" s="77"/>
      <c r="K35" s="77"/>
      <c r="L35" s="77"/>
      <c r="M35" s="77"/>
      <c r="N35" s="77"/>
      <c r="O35" s="136"/>
      <c r="P35" s="136"/>
      <c r="Q35" s="136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73"/>
      <c r="AU35" s="73">
        <f>AS35+AT35</f>
        <v>0</v>
      </c>
      <c r="AV35" s="91"/>
    </row>
    <row r="36" spans="1:48" s="1" customFormat="1" ht="51.75">
      <c r="A36" s="13"/>
      <c r="B36" s="25" t="s">
        <v>43</v>
      </c>
      <c r="C36" s="94" t="s">
        <v>44</v>
      </c>
      <c r="D36" s="95"/>
      <c r="E36" s="96"/>
      <c r="F36" s="96"/>
      <c r="G36" s="96"/>
      <c r="H36" s="97"/>
      <c r="I36" s="97"/>
      <c r="J36" s="97"/>
      <c r="K36" s="97"/>
      <c r="L36" s="97"/>
      <c r="M36" s="97"/>
      <c r="N36" s="97"/>
      <c r="O36" s="98">
        <v>19.88</v>
      </c>
      <c r="P36" s="99"/>
      <c r="Q36" s="99">
        <v>21.49</v>
      </c>
      <c r="R36" s="82">
        <f>O36-U36-X36</f>
        <v>14.856627999999997</v>
      </c>
      <c r="S36" s="82">
        <f>R36*0.038</f>
        <v>0.5645518639999999</v>
      </c>
      <c r="T36" s="82">
        <v>16.07</v>
      </c>
      <c r="U36" s="61">
        <v>2.6</v>
      </c>
      <c r="V36" s="61">
        <f>U36*0.038</f>
        <v>0.0988</v>
      </c>
      <c r="W36" s="82">
        <v>2.81</v>
      </c>
      <c r="X36" s="61">
        <f>12.19*O36/100</f>
        <v>2.4233719999999996</v>
      </c>
      <c r="Y36" s="61">
        <f>X36*0.038</f>
        <v>0.09208813599999999</v>
      </c>
      <c r="Z36" s="82">
        <v>2.61</v>
      </c>
      <c r="AA36" s="61">
        <f t="shared" si="3"/>
        <v>6.6</v>
      </c>
      <c r="AB36" s="89">
        <f>T36+W36+Z36</f>
        <v>21.49</v>
      </c>
      <c r="AC36" s="82">
        <v>7.13</v>
      </c>
      <c r="AD36" s="104">
        <f t="shared" si="5"/>
        <v>2.83</v>
      </c>
      <c r="AE36" s="104">
        <f>AD36*0.038</f>
        <v>0.10754</v>
      </c>
      <c r="AF36" s="104">
        <v>3.06</v>
      </c>
      <c r="AG36" s="62">
        <f t="shared" si="6"/>
        <v>5</v>
      </c>
      <c r="AH36" s="62">
        <f>AG36*0.038</f>
        <v>0.19</v>
      </c>
      <c r="AI36" s="104">
        <v>5.41</v>
      </c>
      <c r="AJ36" s="108">
        <v>2.19</v>
      </c>
      <c r="AK36" s="82">
        <f aca="true" t="shared" si="17" ref="AK36:AK55">AJ36*0.038</f>
        <v>0.08322</v>
      </c>
      <c r="AL36" s="82">
        <v>2.37</v>
      </c>
      <c r="AM36" s="63">
        <f aca="true" t="shared" si="18" ref="AM36:AM41">0*O36/100</f>
        <v>0</v>
      </c>
      <c r="AN36" s="62">
        <f aca="true" t="shared" si="19" ref="AN36:AN55">AM36*0.038</f>
        <v>0</v>
      </c>
      <c r="AO36" s="104">
        <f>AM36+AN36</f>
        <v>0</v>
      </c>
      <c r="AP36" s="63">
        <v>2.6</v>
      </c>
      <c r="AQ36" s="61">
        <f aca="true" t="shared" si="20" ref="AQ36:AQ55">AP36*0.038</f>
        <v>0.0988</v>
      </c>
      <c r="AR36" s="82">
        <v>2.81</v>
      </c>
      <c r="AS36" s="108">
        <v>0.66</v>
      </c>
      <c r="AT36" s="72">
        <f aca="true" t="shared" si="21" ref="AT36:AT55">AS36*0.038</f>
        <v>0.02508</v>
      </c>
      <c r="AU36" s="73">
        <v>0.71</v>
      </c>
      <c r="AV36" s="91">
        <f t="shared" si="10"/>
        <v>21.49</v>
      </c>
    </row>
    <row r="37" spans="1:59" ht="51.75">
      <c r="A37" s="17"/>
      <c r="B37" s="26" t="s">
        <v>45</v>
      </c>
      <c r="C37" s="67" t="s">
        <v>46</v>
      </c>
      <c r="D37" s="76"/>
      <c r="E37" s="76"/>
      <c r="F37" s="76"/>
      <c r="G37" s="76"/>
      <c r="H37" s="77"/>
      <c r="I37" s="77"/>
      <c r="J37" s="77"/>
      <c r="K37" s="77"/>
      <c r="L37" s="77"/>
      <c r="M37" s="77"/>
      <c r="N37" s="77"/>
      <c r="O37" s="68">
        <v>19.64</v>
      </c>
      <c r="P37" s="99"/>
      <c r="Q37" s="68">
        <v>21.24</v>
      </c>
      <c r="R37" s="69">
        <f aca="true" t="shared" si="22" ref="R37:R55">O37-U37-X37</f>
        <v>14.645883999999999</v>
      </c>
      <c r="S37" s="69">
        <f>R37*0.038</f>
        <v>0.5565435919999999</v>
      </c>
      <c r="T37" s="69">
        <v>15.84</v>
      </c>
      <c r="U37" s="53">
        <v>2.6</v>
      </c>
      <c r="V37" s="53">
        <f aca="true" t="shared" si="23" ref="V37:V55">U37*0.038</f>
        <v>0.0988</v>
      </c>
      <c r="W37" s="82">
        <v>2.81</v>
      </c>
      <c r="X37" s="53">
        <f>12.19*O37/100</f>
        <v>2.394116</v>
      </c>
      <c r="Y37" s="53">
        <f>X37*0.038</f>
        <v>0.090976408</v>
      </c>
      <c r="Z37" s="69">
        <v>2.59</v>
      </c>
      <c r="AA37" s="53">
        <f>ROUND((O37-AJ37-AM37-AP37-AS37-AG37)*0.9,2)</f>
        <v>8.27</v>
      </c>
      <c r="AB37" s="89">
        <f aca="true" t="shared" si="24" ref="AB37:AB55">T37+W37+Z37</f>
        <v>21.24</v>
      </c>
      <c r="AC37" s="69">
        <v>8.95</v>
      </c>
      <c r="AD37" s="71">
        <f t="shared" si="5"/>
        <v>0.92</v>
      </c>
      <c r="AE37" s="71">
        <f>AD37*0.038</f>
        <v>0.03496</v>
      </c>
      <c r="AF37" s="71">
        <v>0.99</v>
      </c>
      <c r="AG37" s="55">
        <f t="shared" si="6"/>
        <v>5</v>
      </c>
      <c r="AH37" s="55">
        <f>AG37*0.038</f>
        <v>0.19</v>
      </c>
      <c r="AI37" s="104">
        <v>5.41</v>
      </c>
      <c r="AJ37" s="107">
        <v>2.19</v>
      </c>
      <c r="AK37" s="69">
        <f t="shared" si="17"/>
        <v>0.08322</v>
      </c>
      <c r="AL37" s="82">
        <v>2.37</v>
      </c>
      <c r="AM37" s="53">
        <f t="shared" si="18"/>
        <v>0</v>
      </c>
      <c r="AN37" s="55">
        <f t="shared" si="19"/>
        <v>0</v>
      </c>
      <c r="AO37" s="71">
        <f aca="true" t="shared" si="25" ref="AO37:AO55">AM37+AN37</f>
        <v>0</v>
      </c>
      <c r="AP37" s="60">
        <v>2.6</v>
      </c>
      <c r="AQ37" s="53">
        <f t="shared" si="20"/>
        <v>0.0988</v>
      </c>
      <c r="AR37" s="82">
        <v>2.81</v>
      </c>
      <c r="AS37" s="107">
        <v>0.66</v>
      </c>
      <c r="AT37" s="72">
        <f t="shared" si="21"/>
        <v>0.02508</v>
      </c>
      <c r="AU37" s="73">
        <v>0.71</v>
      </c>
      <c r="AV37" s="91">
        <f t="shared" si="10"/>
        <v>21.24</v>
      </c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48" s="1" customFormat="1" ht="51.75">
      <c r="A38" s="13"/>
      <c r="B38" s="25" t="s">
        <v>47</v>
      </c>
      <c r="C38" s="67" t="s">
        <v>48</v>
      </c>
      <c r="D38" s="76"/>
      <c r="E38" s="76"/>
      <c r="F38" s="76"/>
      <c r="G38" s="76"/>
      <c r="H38" s="77"/>
      <c r="I38" s="77"/>
      <c r="J38" s="77"/>
      <c r="K38" s="77"/>
      <c r="L38" s="77"/>
      <c r="M38" s="77"/>
      <c r="N38" s="77"/>
      <c r="O38" s="68">
        <v>20.13</v>
      </c>
      <c r="P38" s="99"/>
      <c r="Q38" s="68">
        <v>21.77</v>
      </c>
      <c r="R38" s="69">
        <f t="shared" si="22"/>
        <v>15.076152999999998</v>
      </c>
      <c r="S38" s="69">
        <f aca="true" t="shared" si="26" ref="S38:S55">R38*0.038</f>
        <v>0.572893814</v>
      </c>
      <c r="T38" s="69">
        <v>16.31</v>
      </c>
      <c r="U38" s="53">
        <v>2.6</v>
      </c>
      <c r="V38" s="53">
        <f t="shared" si="23"/>
        <v>0.0988</v>
      </c>
      <c r="W38" s="82">
        <v>2.81</v>
      </c>
      <c r="X38" s="53">
        <f>12.19*O38/100</f>
        <v>2.4538469999999997</v>
      </c>
      <c r="Y38" s="53">
        <f aca="true" t="shared" si="27" ref="Y38:Y55">X38*0.038</f>
        <v>0.09324618599999998</v>
      </c>
      <c r="Z38" s="69">
        <v>2.65</v>
      </c>
      <c r="AA38" s="53">
        <f t="shared" si="3"/>
        <v>6.78</v>
      </c>
      <c r="AB38" s="89">
        <f t="shared" si="24"/>
        <v>21.769999999999996</v>
      </c>
      <c r="AC38" s="69">
        <v>7.33</v>
      </c>
      <c r="AD38" s="71">
        <f t="shared" si="5"/>
        <v>2.9</v>
      </c>
      <c r="AE38" s="71">
        <f aca="true" t="shared" si="28" ref="AE38:AE55">AD38*0.038</f>
        <v>0.11019999999999999</v>
      </c>
      <c r="AF38" s="71">
        <v>3.14</v>
      </c>
      <c r="AG38" s="55">
        <f t="shared" si="6"/>
        <v>5</v>
      </c>
      <c r="AH38" s="55">
        <f aca="true" t="shared" si="29" ref="AH38:AH55">AG38*0.038</f>
        <v>0.19</v>
      </c>
      <c r="AI38" s="104">
        <v>5.41</v>
      </c>
      <c r="AJ38" s="107">
        <v>2.19</v>
      </c>
      <c r="AK38" s="69">
        <f t="shared" si="17"/>
        <v>0.08322</v>
      </c>
      <c r="AL38" s="82">
        <v>2.37</v>
      </c>
      <c r="AM38" s="53">
        <f t="shared" si="18"/>
        <v>0</v>
      </c>
      <c r="AN38" s="55">
        <f t="shared" si="19"/>
        <v>0</v>
      </c>
      <c r="AO38" s="71">
        <f t="shared" si="25"/>
        <v>0</v>
      </c>
      <c r="AP38" s="60">
        <v>2.6</v>
      </c>
      <c r="AQ38" s="53">
        <f t="shared" si="20"/>
        <v>0.0988</v>
      </c>
      <c r="AR38" s="82">
        <v>2.81</v>
      </c>
      <c r="AS38" s="107">
        <v>0.66</v>
      </c>
      <c r="AT38" s="72">
        <f t="shared" si="21"/>
        <v>0.02508</v>
      </c>
      <c r="AU38" s="73">
        <v>0.71</v>
      </c>
      <c r="AV38" s="91">
        <f t="shared" si="10"/>
        <v>21.77</v>
      </c>
    </row>
    <row r="39" spans="1:48" s="1" customFormat="1" ht="51.75">
      <c r="A39" s="13"/>
      <c r="B39" s="25" t="s">
        <v>49</v>
      </c>
      <c r="C39" s="67" t="s">
        <v>50</v>
      </c>
      <c r="D39" s="76"/>
      <c r="E39" s="76"/>
      <c r="F39" s="76"/>
      <c r="G39" s="76"/>
      <c r="H39" s="77"/>
      <c r="I39" s="77"/>
      <c r="J39" s="77"/>
      <c r="K39" s="77"/>
      <c r="L39" s="77"/>
      <c r="M39" s="77"/>
      <c r="N39" s="77"/>
      <c r="O39" s="68">
        <v>20.13</v>
      </c>
      <c r="P39" s="99"/>
      <c r="Q39" s="68">
        <v>21.77</v>
      </c>
      <c r="R39" s="69">
        <f t="shared" si="22"/>
        <v>15.076152999999998</v>
      </c>
      <c r="S39" s="69">
        <f t="shared" si="26"/>
        <v>0.572893814</v>
      </c>
      <c r="T39" s="69">
        <v>16.31</v>
      </c>
      <c r="U39" s="53">
        <v>2.6</v>
      </c>
      <c r="V39" s="53">
        <f t="shared" si="23"/>
        <v>0.0988</v>
      </c>
      <c r="W39" s="82">
        <v>2.81</v>
      </c>
      <c r="X39" s="53">
        <f>12.19*O39/100</f>
        <v>2.4538469999999997</v>
      </c>
      <c r="Y39" s="53">
        <f t="shared" si="27"/>
        <v>0.09324618599999998</v>
      </c>
      <c r="Z39" s="69">
        <v>2.65</v>
      </c>
      <c r="AA39" s="53">
        <f t="shared" si="3"/>
        <v>6.78</v>
      </c>
      <c r="AB39" s="89">
        <f t="shared" si="24"/>
        <v>21.769999999999996</v>
      </c>
      <c r="AC39" s="69">
        <v>7.33</v>
      </c>
      <c r="AD39" s="71">
        <f t="shared" si="5"/>
        <v>2.9</v>
      </c>
      <c r="AE39" s="71">
        <f t="shared" si="28"/>
        <v>0.11019999999999999</v>
      </c>
      <c r="AF39" s="71">
        <v>3.14</v>
      </c>
      <c r="AG39" s="55">
        <f t="shared" si="6"/>
        <v>5</v>
      </c>
      <c r="AH39" s="55">
        <f t="shared" si="29"/>
        <v>0.19</v>
      </c>
      <c r="AI39" s="104">
        <v>5.41</v>
      </c>
      <c r="AJ39" s="107">
        <v>2.19</v>
      </c>
      <c r="AK39" s="69">
        <f t="shared" si="17"/>
        <v>0.08322</v>
      </c>
      <c r="AL39" s="82">
        <v>2.37</v>
      </c>
      <c r="AM39" s="53">
        <f t="shared" si="18"/>
        <v>0</v>
      </c>
      <c r="AN39" s="55">
        <f t="shared" si="19"/>
        <v>0</v>
      </c>
      <c r="AO39" s="71">
        <f t="shared" si="25"/>
        <v>0</v>
      </c>
      <c r="AP39" s="60">
        <v>2.6</v>
      </c>
      <c r="AQ39" s="53">
        <f t="shared" si="20"/>
        <v>0.0988</v>
      </c>
      <c r="AR39" s="82">
        <v>2.81</v>
      </c>
      <c r="AS39" s="107">
        <v>0.66</v>
      </c>
      <c r="AT39" s="72">
        <f t="shared" si="21"/>
        <v>0.02508</v>
      </c>
      <c r="AU39" s="73">
        <v>0.71</v>
      </c>
      <c r="AV39" s="91">
        <f t="shared" si="10"/>
        <v>21.77</v>
      </c>
    </row>
    <row r="40" spans="1:48" s="1" customFormat="1" ht="115.5" customHeight="1">
      <c r="A40" s="13"/>
      <c r="B40" s="25" t="s">
        <v>51</v>
      </c>
      <c r="C40" s="67" t="s">
        <v>52</v>
      </c>
      <c r="D40" s="75"/>
      <c r="E40" s="76"/>
      <c r="F40" s="76"/>
      <c r="G40" s="76"/>
      <c r="H40" s="77"/>
      <c r="I40" s="77"/>
      <c r="J40" s="77"/>
      <c r="K40" s="77"/>
      <c r="L40" s="77"/>
      <c r="M40" s="77"/>
      <c r="N40" s="77"/>
      <c r="O40" s="68">
        <v>21.1</v>
      </c>
      <c r="P40" s="99"/>
      <c r="Q40" s="68">
        <v>22.83</v>
      </c>
      <c r="R40" s="69">
        <f t="shared" si="22"/>
        <v>18.5</v>
      </c>
      <c r="S40" s="69">
        <f t="shared" si="26"/>
        <v>0.703</v>
      </c>
      <c r="T40" s="69">
        <v>19.2</v>
      </c>
      <c r="U40" s="53">
        <v>2.6</v>
      </c>
      <c r="V40" s="53">
        <f t="shared" si="23"/>
        <v>0.0988</v>
      </c>
      <c r="W40" s="82">
        <v>2.81</v>
      </c>
      <c r="X40" s="53">
        <v>0</v>
      </c>
      <c r="Y40" s="53">
        <f t="shared" si="27"/>
        <v>0</v>
      </c>
      <c r="Z40" s="69">
        <v>0.82</v>
      </c>
      <c r="AA40" s="53">
        <f>ROUND((O40-AJ40-AM40-AP40-AS40-AG40)*0.9,2)</f>
        <v>9.59</v>
      </c>
      <c r="AB40" s="89">
        <f t="shared" si="24"/>
        <v>22.83</v>
      </c>
      <c r="AC40" s="69">
        <v>10.37</v>
      </c>
      <c r="AD40" s="71">
        <f t="shared" si="5"/>
        <v>1.06</v>
      </c>
      <c r="AE40" s="71">
        <f t="shared" si="28"/>
        <v>0.04028</v>
      </c>
      <c r="AF40" s="71">
        <v>1.15</v>
      </c>
      <c r="AG40" s="55">
        <f t="shared" si="6"/>
        <v>5</v>
      </c>
      <c r="AH40" s="55">
        <f t="shared" si="29"/>
        <v>0.19</v>
      </c>
      <c r="AI40" s="104">
        <v>5.41</v>
      </c>
      <c r="AJ40" s="107">
        <v>2.19</v>
      </c>
      <c r="AK40" s="69">
        <f t="shared" si="17"/>
        <v>0.08322</v>
      </c>
      <c r="AL40" s="82">
        <v>2.37</v>
      </c>
      <c r="AM40" s="53">
        <f t="shared" si="18"/>
        <v>0</v>
      </c>
      <c r="AN40" s="55">
        <f t="shared" si="19"/>
        <v>0</v>
      </c>
      <c r="AO40" s="71">
        <f t="shared" si="25"/>
        <v>0</v>
      </c>
      <c r="AP40" s="60">
        <v>2.6</v>
      </c>
      <c r="AQ40" s="53">
        <f t="shared" si="20"/>
        <v>0.0988</v>
      </c>
      <c r="AR40" s="82">
        <v>2.81</v>
      </c>
      <c r="AS40" s="107">
        <v>0.66</v>
      </c>
      <c r="AT40" s="72">
        <f t="shared" si="21"/>
        <v>0.02508</v>
      </c>
      <c r="AU40" s="73">
        <v>0.71</v>
      </c>
      <c r="AV40" s="91">
        <f t="shared" si="10"/>
        <v>22.82</v>
      </c>
    </row>
    <row r="41" spans="1:48" s="1" customFormat="1" ht="59.25" customHeight="1">
      <c r="A41" s="13"/>
      <c r="B41" s="25" t="s">
        <v>53</v>
      </c>
      <c r="C41" s="67" t="s">
        <v>54</v>
      </c>
      <c r="D41" s="75"/>
      <c r="E41" s="76"/>
      <c r="F41" s="76"/>
      <c r="G41" s="76"/>
      <c r="H41" s="77"/>
      <c r="I41" s="77"/>
      <c r="J41" s="77"/>
      <c r="K41" s="77"/>
      <c r="L41" s="77"/>
      <c r="M41" s="77"/>
      <c r="N41" s="77"/>
      <c r="O41" s="100">
        <v>21.1</v>
      </c>
      <c r="P41" s="99"/>
      <c r="Q41" s="68">
        <v>22.83</v>
      </c>
      <c r="R41" s="69">
        <f t="shared" si="22"/>
        <v>18.5</v>
      </c>
      <c r="S41" s="69">
        <f t="shared" si="26"/>
        <v>0.703</v>
      </c>
      <c r="T41" s="69">
        <v>19.2</v>
      </c>
      <c r="U41" s="53">
        <v>2.6</v>
      </c>
      <c r="V41" s="53">
        <f t="shared" si="23"/>
        <v>0.0988</v>
      </c>
      <c r="W41" s="82">
        <v>2.81</v>
      </c>
      <c r="X41" s="53">
        <v>0</v>
      </c>
      <c r="Y41" s="53">
        <f t="shared" si="27"/>
        <v>0</v>
      </c>
      <c r="Z41" s="69">
        <v>0.82</v>
      </c>
      <c r="AA41" s="53">
        <f>ROUND((O41-AJ41-AM41-AP41-AS41-AG41)*0.9,2)</f>
        <v>9.59</v>
      </c>
      <c r="AB41" s="89">
        <f t="shared" si="24"/>
        <v>22.83</v>
      </c>
      <c r="AC41" s="69">
        <v>10.37</v>
      </c>
      <c r="AD41" s="71">
        <f t="shared" si="5"/>
        <v>1.06</v>
      </c>
      <c r="AE41" s="71">
        <f t="shared" si="28"/>
        <v>0.04028</v>
      </c>
      <c r="AF41" s="71">
        <v>1.15</v>
      </c>
      <c r="AG41" s="55">
        <f t="shared" si="6"/>
        <v>5</v>
      </c>
      <c r="AH41" s="55">
        <f t="shared" si="29"/>
        <v>0.19</v>
      </c>
      <c r="AI41" s="104">
        <v>5.41</v>
      </c>
      <c r="AJ41" s="107">
        <v>2.19</v>
      </c>
      <c r="AK41" s="69">
        <f t="shared" si="17"/>
        <v>0.08322</v>
      </c>
      <c r="AL41" s="82">
        <v>2.37</v>
      </c>
      <c r="AM41" s="53">
        <f t="shared" si="18"/>
        <v>0</v>
      </c>
      <c r="AN41" s="55">
        <f t="shared" si="19"/>
        <v>0</v>
      </c>
      <c r="AO41" s="71">
        <f t="shared" si="25"/>
        <v>0</v>
      </c>
      <c r="AP41" s="60">
        <v>2.6</v>
      </c>
      <c r="AQ41" s="53">
        <f t="shared" si="20"/>
        <v>0.0988</v>
      </c>
      <c r="AR41" s="82">
        <v>2.81</v>
      </c>
      <c r="AS41" s="107">
        <v>0.66</v>
      </c>
      <c r="AT41" s="72">
        <f t="shared" si="21"/>
        <v>0.02508</v>
      </c>
      <c r="AU41" s="73">
        <v>0.71</v>
      </c>
      <c r="AV41" s="91">
        <f t="shared" si="10"/>
        <v>22.82</v>
      </c>
    </row>
    <row r="42" spans="1:48" s="1" customFormat="1" ht="42">
      <c r="A42" s="13"/>
      <c r="B42" s="14">
        <v>22</v>
      </c>
      <c r="C42" s="67" t="s">
        <v>55</v>
      </c>
      <c r="D42" s="75">
        <v>47.31</v>
      </c>
      <c r="E42" s="76">
        <v>37.52</v>
      </c>
      <c r="F42" s="76">
        <v>4.91</v>
      </c>
      <c r="G42" s="76">
        <v>4.88</v>
      </c>
      <c r="H42" s="77">
        <v>3.63</v>
      </c>
      <c r="I42" s="77">
        <v>6.92</v>
      </c>
      <c r="J42" s="77">
        <v>28.3</v>
      </c>
      <c r="K42" s="77">
        <v>2.61</v>
      </c>
      <c r="L42" s="77">
        <v>0</v>
      </c>
      <c r="M42" s="77">
        <v>4.91</v>
      </c>
      <c r="N42" s="77">
        <v>0.94</v>
      </c>
      <c r="O42" s="78">
        <v>19.88</v>
      </c>
      <c r="P42" s="99"/>
      <c r="Q42" s="68">
        <v>21.49</v>
      </c>
      <c r="R42" s="69">
        <f t="shared" si="22"/>
        <v>15.209999999999997</v>
      </c>
      <c r="S42" s="69">
        <f t="shared" si="26"/>
        <v>0.5779799999999999</v>
      </c>
      <c r="T42" s="69">
        <v>16.44</v>
      </c>
      <c r="U42" s="53">
        <v>2.6</v>
      </c>
      <c r="V42" s="53">
        <f t="shared" si="23"/>
        <v>0.0988</v>
      </c>
      <c r="W42" s="82">
        <v>2.81</v>
      </c>
      <c r="X42" s="54">
        <v>2.07</v>
      </c>
      <c r="Y42" s="53">
        <f t="shared" si="27"/>
        <v>0.07866</v>
      </c>
      <c r="Z42" s="69">
        <v>2.24</v>
      </c>
      <c r="AA42" s="53">
        <f t="shared" si="3"/>
        <v>6.6</v>
      </c>
      <c r="AB42" s="89">
        <f t="shared" si="24"/>
        <v>21.490000000000002</v>
      </c>
      <c r="AC42" s="69">
        <v>7.13</v>
      </c>
      <c r="AD42" s="71">
        <f t="shared" si="5"/>
        <v>2.83</v>
      </c>
      <c r="AE42" s="71">
        <f t="shared" si="28"/>
        <v>0.10754</v>
      </c>
      <c r="AF42" s="71">
        <v>3.06</v>
      </c>
      <c r="AG42" s="55">
        <f t="shared" si="6"/>
        <v>5</v>
      </c>
      <c r="AH42" s="55">
        <f t="shared" si="29"/>
        <v>0.19</v>
      </c>
      <c r="AI42" s="104">
        <v>5.41</v>
      </c>
      <c r="AJ42" s="107">
        <v>2.19</v>
      </c>
      <c r="AK42" s="69">
        <f t="shared" si="17"/>
        <v>0.08322</v>
      </c>
      <c r="AL42" s="82">
        <v>2.37</v>
      </c>
      <c r="AM42" s="60">
        <f>0.42*L42</f>
        <v>0</v>
      </c>
      <c r="AN42" s="55">
        <f t="shared" si="19"/>
        <v>0</v>
      </c>
      <c r="AO42" s="71">
        <f t="shared" si="25"/>
        <v>0</v>
      </c>
      <c r="AP42" s="60">
        <v>2.6</v>
      </c>
      <c r="AQ42" s="53">
        <f t="shared" si="20"/>
        <v>0.0988</v>
      </c>
      <c r="AR42" s="82">
        <v>2.81</v>
      </c>
      <c r="AS42" s="107">
        <v>0.66</v>
      </c>
      <c r="AT42" s="72">
        <f t="shared" si="21"/>
        <v>0.02508</v>
      </c>
      <c r="AU42" s="73">
        <v>0.71</v>
      </c>
      <c r="AV42" s="91">
        <f t="shared" si="10"/>
        <v>21.49</v>
      </c>
    </row>
    <row r="43" spans="1:59" ht="51.75">
      <c r="A43" s="17"/>
      <c r="B43" s="18">
        <v>23</v>
      </c>
      <c r="C43" s="67" t="s">
        <v>56</v>
      </c>
      <c r="D43" s="75">
        <v>46.59</v>
      </c>
      <c r="E43" s="76">
        <v>41.13</v>
      </c>
      <c r="F43" s="76">
        <v>4.12</v>
      </c>
      <c r="G43" s="92">
        <v>1.3</v>
      </c>
      <c r="H43" s="77">
        <v>1.39</v>
      </c>
      <c r="I43" s="77">
        <v>7.84</v>
      </c>
      <c r="J43" s="77">
        <v>4.8</v>
      </c>
      <c r="K43" s="77">
        <v>23.41</v>
      </c>
      <c r="L43" s="77">
        <v>4.28</v>
      </c>
      <c r="M43" s="77">
        <v>4.12</v>
      </c>
      <c r="N43" s="77">
        <v>0.75</v>
      </c>
      <c r="O43" s="101">
        <v>23.67</v>
      </c>
      <c r="P43" s="99"/>
      <c r="Q43" s="68">
        <v>25.6</v>
      </c>
      <c r="R43" s="74">
        <f t="shared" si="22"/>
        <v>20.38</v>
      </c>
      <c r="S43" s="69">
        <f t="shared" si="26"/>
        <v>0.7744399999999999</v>
      </c>
      <c r="T43" s="69">
        <v>22.04</v>
      </c>
      <c r="U43" s="56">
        <v>2.6</v>
      </c>
      <c r="V43" s="53">
        <f t="shared" si="23"/>
        <v>0.0988</v>
      </c>
      <c r="W43" s="82">
        <v>2.81</v>
      </c>
      <c r="X43" s="64">
        <v>0.69</v>
      </c>
      <c r="Y43" s="53">
        <f t="shared" si="27"/>
        <v>0.026219999999999997</v>
      </c>
      <c r="Z43" s="69">
        <v>0.75</v>
      </c>
      <c r="AA43" s="53">
        <f>ROUND((O43-AJ43-AM43-AP43-AS43-AG43)*0.9,2)</f>
        <v>8.42</v>
      </c>
      <c r="AB43" s="89">
        <f t="shared" si="24"/>
        <v>25.599999999999998</v>
      </c>
      <c r="AC43" s="69">
        <v>9.11</v>
      </c>
      <c r="AD43" s="71">
        <f t="shared" si="5"/>
        <v>0.94</v>
      </c>
      <c r="AE43" s="71">
        <f t="shared" si="28"/>
        <v>0.035719999999999995</v>
      </c>
      <c r="AF43" s="71">
        <v>1.02</v>
      </c>
      <c r="AG43" s="55">
        <f t="shared" si="6"/>
        <v>5</v>
      </c>
      <c r="AH43" s="55">
        <f t="shared" si="29"/>
        <v>0.19</v>
      </c>
      <c r="AI43" s="104">
        <v>5.41</v>
      </c>
      <c r="AJ43" s="109">
        <v>2.19</v>
      </c>
      <c r="AK43" s="69">
        <f t="shared" si="17"/>
        <v>0.08322</v>
      </c>
      <c r="AL43" s="82">
        <v>2.37</v>
      </c>
      <c r="AM43" s="55">
        <v>3.86</v>
      </c>
      <c r="AN43" s="55">
        <f t="shared" si="19"/>
        <v>0.14668</v>
      </c>
      <c r="AO43" s="71">
        <v>4.17</v>
      </c>
      <c r="AP43" s="56">
        <v>2.6</v>
      </c>
      <c r="AQ43" s="53">
        <f t="shared" si="20"/>
        <v>0.0988</v>
      </c>
      <c r="AR43" s="82">
        <v>2.81</v>
      </c>
      <c r="AS43" s="74">
        <v>0.66</v>
      </c>
      <c r="AT43" s="72">
        <f t="shared" si="21"/>
        <v>0.02508</v>
      </c>
      <c r="AU43" s="73">
        <v>0.71</v>
      </c>
      <c r="AV43" s="91">
        <f t="shared" si="10"/>
        <v>25.599999999999998</v>
      </c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59" ht="51.75">
      <c r="A44" s="17"/>
      <c r="B44" s="27">
        <v>24</v>
      </c>
      <c r="C44" s="67" t="s">
        <v>57</v>
      </c>
      <c r="D44" s="75">
        <v>36.68</v>
      </c>
      <c r="E44" s="76">
        <v>21.18</v>
      </c>
      <c r="F44" s="92">
        <v>2.6</v>
      </c>
      <c r="G44" s="92">
        <v>12.9</v>
      </c>
      <c r="H44" s="77">
        <v>12.2</v>
      </c>
      <c r="I44" s="77">
        <v>5.92</v>
      </c>
      <c r="J44" s="77">
        <v>7.09</v>
      </c>
      <c r="K44" s="77">
        <v>8.04</v>
      </c>
      <c r="L44" s="77">
        <v>0</v>
      </c>
      <c r="M44" s="77">
        <v>2.6</v>
      </c>
      <c r="N44" s="77">
        <v>0.88</v>
      </c>
      <c r="O44" s="78">
        <v>19.64</v>
      </c>
      <c r="P44" s="99"/>
      <c r="Q44" s="68">
        <v>21.24</v>
      </c>
      <c r="R44" s="69">
        <f t="shared" si="22"/>
        <v>10.12</v>
      </c>
      <c r="S44" s="69">
        <f t="shared" si="26"/>
        <v>0.38455999999999996</v>
      </c>
      <c r="T44" s="69">
        <v>10.94</v>
      </c>
      <c r="U44" s="53">
        <v>2.6</v>
      </c>
      <c r="V44" s="53">
        <f t="shared" si="23"/>
        <v>0.0988</v>
      </c>
      <c r="W44" s="82">
        <v>2.81</v>
      </c>
      <c r="X44" s="54">
        <v>6.92</v>
      </c>
      <c r="Y44" s="53">
        <f t="shared" si="27"/>
        <v>0.26295999999999997</v>
      </c>
      <c r="Z44" s="69">
        <v>7.49</v>
      </c>
      <c r="AA44" s="53">
        <f aca="true" t="shared" si="30" ref="AA44:AA55">ROUND((O44-AJ44-AM44-AP44-AS44-AG44)*0.9,2)</f>
        <v>8.27</v>
      </c>
      <c r="AB44" s="89">
        <f t="shared" si="24"/>
        <v>21.240000000000002</v>
      </c>
      <c r="AC44" s="69">
        <v>8.95</v>
      </c>
      <c r="AD44" s="71">
        <f t="shared" si="5"/>
        <v>0.92</v>
      </c>
      <c r="AE44" s="71">
        <f t="shared" si="28"/>
        <v>0.03496</v>
      </c>
      <c r="AF44" s="71">
        <v>0.99</v>
      </c>
      <c r="AG44" s="55">
        <f t="shared" si="6"/>
        <v>5</v>
      </c>
      <c r="AH44" s="55">
        <f t="shared" si="29"/>
        <v>0.19</v>
      </c>
      <c r="AI44" s="104">
        <v>5.41</v>
      </c>
      <c r="AJ44" s="107">
        <v>2.19</v>
      </c>
      <c r="AK44" s="69">
        <f t="shared" si="17"/>
        <v>0.08322</v>
      </c>
      <c r="AL44" s="82">
        <v>2.37</v>
      </c>
      <c r="AM44" s="60">
        <f>0.535*L44</f>
        <v>0</v>
      </c>
      <c r="AN44" s="55">
        <f t="shared" si="19"/>
        <v>0</v>
      </c>
      <c r="AO44" s="71">
        <f t="shared" si="25"/>
        <v>0</v>
      </c>
      <c r="AP44" s="60">
        <v>2.6</v>
      </c>
      <c r="AQ44" s="53">
        <f t="shared" si="20"/>
        <v>0.0988</v>
      </c>
      <c r="AR44" s="82">
        <v>2.81</v>
      </c>
      <c r="AS44" s="107">
        <v>0.66</v>
      </c>
      <c r="AT44" s="72">
        <f t="shared" si="21"/>
        <v>0.02508</v>
      </c>
      <c r="AU44" s="73">
        <v>0.71</v>
      </c>
      <c r="AV44" s="91">
        <f t="shared" si="10"/>
        <v>21.24</v>
      </c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1:59" ht="42">
      <c r="A45" s="17"/>
      <c r="B45" s="27">
        <v>25</v>
      </c>
      <c r="C45" s="67" t="s">
        <v>58</v>
      </c>
      <c r="D45" s="75">
        <v>31.69</v>
      </c>
      <c r="E45" s="76">
        <v>18.99</v>
      </c>
      <c r="F45" s="102">
        <v>2.2</v>
      </c>
      <c r="G45" s="92">
        <v>10.5</v>
      </c>
      <c r="H45" s="77">
        <v>10.4</v>
      </c>
      <c r="I45" s="77">
        <v>7.06</v>
      </c>
      <c r="J45" s="77">
        <v>11.13</v>
      </c>
      <c r="K45" s="77">
        <v>0</v>
      </c>
      <c r="L45" s="77">
        <v>0</v>
      </c>
      <c r="M45" s="77">
        <v>2.2</v>
      </c>
      <c r="N45" s="77">
        <v>0.9</v>
      </c>
      <c r="O45" s="78">
        <v>19.64</v>
      </c>
      <c r="P45" s="99"/>
      <c r="Q45" s="68">
        <v>21.24</v>
      </c>
      <c r="R45" s="69">
        <f t="shared" si="22"/>
        <v>10.509999999999998</v>
      </c>
      <c r="S45" s="69">
        <f t="shared" si="26"/>
        <v>0.3993799999999999</v>
      </c>
      <c r="T45" s="69">
        <v>11.37</v>
      </c>
      <c r="U45" s="53">
        <v>2.6</v>
      </c>
      <c r="V45" s="53">
        <f t="shared" si="23"/>
        <v>0.0988</v>
      </c>
      <c r="W45" s="82">
        <v>2.81</v>
      </c>
      <c r="X45" s="54">
        <v>6.53</v>
      </c>
      <c r="Y45" s="53">
        <f t="shared" si="27"/>
        <v>0.24814</v>
      </c>
      <c r="Z45" s="69">
        <v>7.06</v>
      </c>
      <c r="AA45" s="53">
        <f t="shared" si="30"/>
        <v>8.27</v>
      </c>
      <c r="AB45" s="89">
        <f t="shared" si="24"/>
        <v>21.24</v>
      </c>
      <c r="AC45" s="69">
        <v>8.95</v>
      </c>
      <c r="AD45" s="71">
        <f t="shared" si="5"/>
        <v>0.92</v>
      </c>
      <c r="AE45" s="71">
        <f t="shared" si="28"/>
        <v>0.03496</v>
      </c>
      <c r="AF45" s="71">
        <v>0.99</v>
      </c>
      <c r="AG45" s="55">
        <f t="shared" si="6"/>
        <v>5</v>
      </c>
      <c r="AH45" s="55">
        <f t="shared" si="29"/>
        <v>0.19</v>
      </c>
      <c r="AI45" s="104">
        <v>5.41</v>
      </c>
      <c r="AJ45" s="69">
        <v>2.19</v>
      </c>
      <c r="AK45" s="69">
        <f t="shared" si="17"/>
        <v>0.08322</v>
      </c>
      <c r="AL45" s="82">
        <v>2.37</v>
      </c>
      <c r="AM45" s="53">
        <f>0.619*L45</f>
        <v>0</v>
      </c>
      <c r="AN45" s="55">
        <f t="shared" si="19"/>
        <v>0</v>
      </c>
      <c r="AO45" s="71">
        <f t="shared" si="25"/>
        <v>0</v>
      </c>
      <c r="AP45" s="60">
        <v>2.6</v>
      </c>
      <c r="AQ45" s="53">
        <f t="shared" si="20"/>
        <v>0.0988</v>
      </c>
      <c r="AR45" s="82">
        <v>2.81</v>
      </c>
      <c r="AS45" s="107">
        <v>0.66</v>
      </c>
      <c r="AT45" s="72">
        <f t="shared" si="21"/>
        <v>0.02508</v>
      </c>
      <c r="AU45" s="73">
        <v>0.71</v>
      </c>
      <c r="AV45" s="91">
        <f t="shared" si="10"/>
        <v>21.24</v>
      </c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</row>
    <row r="46" spans="1:59" ht="42">
      <c r="A46" s="17"/>
      <c r="B46" s="27">
        <v>26</v>
      </c>
      <c r="C46" s="67" t="s">
        <v>59</v>
      </c>
      <c r="D46" s="75">
        <v>29.28</v>
      </c>
      <c r="E46" s="76">
        <v>17.18</v>
      </c>
      <c r="F46" s="92">
        <v>2.2</v>
      </c>
      <c r="G46" s="92">
        <v>9.9</v>
      </c>
      <c r="H46" s="77">
        <v>9.3</v>
      </c>
      <c r="I46" s="77">
        <v>4.28</v>
      </c>
      <c r="J46" s="77">
        <v>8.32</v>
      </c>
      <c r="K46" s="77">
        <v>4.48</v>
      </c>
      <c r="L46" s="77">
        <v>0</v>
      </c>
      <c r="M46" s="77">
        <v>2.2</v>
      </c>
      <c r="N46" s="77">
        <v>0.7</v>
      </c>
      <c r="O46" s="78">
        <v>19.64</v>
      </c>
      <c r="P46" s="99"/>
      <c r="Q46" s="68">
        <v>21.24</v>
      </c>
      <c r="R46" s="69">
        <f t="shared" si="22"/>
        <v>10.379999999999999</v>
      </c>
      <c r="S46" s="69">
        <f t="shared" si="26"/>
        <v>0.39443999999999996</v>
      </c>
      <c r="T46" s="69">
        <v>11.22</v>
      </c>
      <c r="U46" s="53">
        <v>2.6</v>
      </c>
      <c r="V46" s="53">
        <f t="shared" si="23"/>
        <v>0.0988</v>
      </c>
      <c r="W46" s="82">
        <v>2.81</v>
      </c>
      <c r="X46" s="54">
        <v>6.66</v>
      </c>
      <c r="Y46" s="53">
        <f t="shared" si="27"/>
        <v>0.25307999999999997</v>
      </c>
      <c r="Z46" s="69">
        <v>7.21</v>
      </c>
      <c r="AA46" s="53">
        <f t="shared" si="30"/>
        <v>8.27</v>
      </c>
      <c r="AB46" s="89">
        <f t="shared" si="24"/>
        <v>21.240000000000002</v>
      </c>
      <c r="AC46" s="69">
        <v>8.95</v>
      </c>
      <c r="AD46" s="71">
        <f t="shared" si="5"/>
        <v>0.92</v>
      </c>
      <c r="AE46" s="71">
        <f t="shared" si="28"/>
        <v>0.03496</v>
      </c>
      <c r="AF46" s="71">
        <v>0.99</v>
      </c>
      <c r="AG46" s="55">
        <f t="shared" si="6"/>
        <v>5</v>
      </c>
      <c r="AH46" s="55">
        <f t="shared" si="29"/>
        <v>0.19</v>
      </c>
      <c r="AI46" s="104">
        <v>5.41</v>
      </c>
      <c r="AJ46" s="69">
        <v>2.19</v>
      </c>
      <c r="AK46" s="69">
        <f t="shared" si="17"/>
        <v>0.08322</v>
      </c>
      <c r="AL46" s="82">
        <v>2.37</v>
      </c>
      <c r="AM46" s="53">
        <f>0.67*L46</f>
        <v>0</v>
      </c>
      <c r="AN46" s="55">
        <f t="shared" si="19"/>
        <v>0</v>
      </c>
      <c r="AO46" s="71">
        <f t="shared" si="25"/>
        <v>0</v>
      </c>
      <c r="AP46" s="60">
        <v>2.6</v>
      </c>
      <c r="AQ46" s="53">
        <f t="shared" si="20"/>
        <v>0.0988</v>
      </c>
      <c r="AR46" s="82">
        <v>2.81</v>
      </c>
      <c r="AS46" s="107">
        <v>0.66</v>
      </c>
      <c r="AT46" s="72">
        <f t="shared" si="21"/>
        <v>0.02508</v>
      </c>
      <c r="AU46" s="73">
        <v>0.71</v>
      </c>
      <c r="AV46" s="91">
        <f t="shared" si="10"/>
        <v>21.24</v>
      </c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</row>
    <row r="47" spans="1:59" ht="42">
      <c r="A47" s="17"/>
      <c r="B47" s="27">
        <v>27</v>
      </c>
      <c r="C47" s="67" t="s">
        <v>60</v>
      </c>
      <c r="D47" s="75">
        <v>21.45</v>
      </c>
      <c r="E47" s="76">
        <v>18.15</v>
      </c>
      <c r="F47" s="92">
        <v>2.2</v>
      </c>
      <c r="G47" s="92">
        <v>1.1</v>
      </c>
      <c r="H47" s="77">
        <v>3.3</v>
      </c>
      <c r="I47" s="77">
        <v>4.75</v>
      </c>
      <c r="J47" s="77">
        <v>10.3</v>
      </c>
      <c r="K47" s="77">
        <v>0</v>
      </c>
      <c r="L47" s="77">
        <v>0</v>
      </c>
      <c r="M47" s="77">
        <v>2.2</v>
      </c>
      <c r="N47" s="77">
        <v>0.9</v>
      </c>
      <c r="O47" s="78">
        <v>19.64</v>
      </c>
      <c r="P47" s="99"/>
      <c r="Q47" s="68">
        <v>21.24</v>
      </c>
      <c r="R47" s="69">
        <f t="shared" si="22"/>
        <v>16.02</v>
      </c>
      <c r="S47" s="69">
        <f t="shared" si="26"/>
        <v>0.60876</v>
      </c>
      <c r="T47" s="69">
        <v>17.32</v>
      </c>
      <c r="U47" s="53">
        <v>2.6</v>
      </c>
      <c r="V47" s="53">
        <f t="shared" si="23"/>
        <v>0.0988</v>
      </c>
      <c r="W47" s="82">
        <v>2.81</v>
      </c>
      <c r="X47" s="54">
        <v>1.02</v>
      </c>
      <c r="Y47" s="53">
        <f t="shared" si="27"/>
        <v>0.03876</v>
      </c>
      <c r="Z47" s="69">
        <v>1.11</v>
      </c>
      <c r="AA47" s="53">
        <f t="shared" si="30"/>
        <v>8.27</v>
      </c>
      <c r="AB47" s="89">
        <f t="shared" si="24"/>
        <v>21.24</v>
      </c>
      <c r="AC47" s="69">
        <v>8.95</v>
      </c>
      <c r="AD47" s="71">
        <f t="shared" si="5"/>
        <v>0.92</v>
      </c>
      <c r="AE47" s="71">
        <f t="shared" si="28"/>
        <v>0.03496</v>
      </c>
      <c r="AF47" s="71">
        <v>0.99</v>
      </c>
      <c r="AG47" s="55">
        <f t="shared" si="6"/>
        <v>5</v>
      </c>
      <c r="AH47" s="55">
        <f t="shared" si="29"/>
        <v>0.19</v>
      </c>
      <c r="AI47" s="104">
        <v>5.41</v>
      </c>
      <c r="AJ47" s="69">
        <v>2.19</v>
      </c>
      <c r="AK47" s="69">
        <f t="shared" si="17"/>
        <v>0.08322</v>
      </c>
      <c r="AL47" s="82">
        <v>2.37</v>
      </c>
      <c r="AM47" s="53">
        <f>0.915*L47</f>
        <v>0</v>
      </c>
      <c r="AN47" s="55">
        <f t="shared" si="19"/>
        <v>0</v>
      </c>
      <c r="AO47" s="71">
        <f t="shared" si="25"/>
        <v>0</v>
      </c>
      <c r="AP47" s="60">
        <v>2.6</v>
      </c>
      <c r="AQ47" s="53">
        <f t="shared" si="20"/>
        <v>0.0988</v>
      </c>
      <c r="AR47" s="82">
        <v>2.81</v>
      </c>
      <c r="AS47" s="107">
        <v>0.66</v>
      </c>
      <c r="AT47" s="72">
        <f t="shared" si="21"/>
        <v>0.02508</v>
      </c>
      <c r="AU47" s="73">
        <v>0.71</v>
      </c>
      <c r="AV47" s="91">
        <f t="shared" si="10"/>
        <v>21.24</v>
      </c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1:59" ht="51.75">
      <c r="A48" s="17"/>
      <c r="B48" s="27">
        <v>28</v>
      </c>
      <c r="C48" s="67" t="s">
        <v>61</v>
      </c>
      <c r="D48" s="75">
        <v>46.44</v>
      </c>
      <c r="E48" s="76">
        <v>17.24</v>
      </c>
      <c r="F48" s="92">
        <v>5.9</v>
      </c>
      <c r="G48" s="92">
        <v>3.3</v>
      </c>
      <c r="H48" s="77">
        <v>3.7</v>
      </c>
      <c r="I48" s="77">
        <v>5.36</v>
      </c>
      <c r="J48" s="77">
        <v>30.68</v>
      </c>
      <c r="K48" s="77">
        <v>0</v>
      </c>
      <c r="L48" s="77">
        <v>0</v>
      </c>
      <c r="M48" s="77">
        <v>5.9</v>
      </c>
      <c r="N48" s="77">
        <v>0.8</v>
      </c>
      <c r="O48" s="78">
        <v>25.42</v>
      </c>
      <c r="P48" s="99"/>
      <c r="Q48" s="68">
        <v>27.49</v>
      </c>
      <c r="R48" s="69">
        <f t="shared" si="22"/>
        <v>20.990000000000002</v>
      </c>
      <c r="S48" s="69">
        <f t="shared" si="26"/>
        <v>0.7976200000000001</v>
      </c>
      <c r="T48" s="69">
        <v>22.7</v>
      </c>
      <c r="U48" s="53">
        <v>2.6</v>
      </c>
      <c r="V48" s="53">
        <f t="shared" si="23"/>
        <v>0.0988</v>
      </c>
      <c r="W48" s="82">
        <v>2.81</v>
      </c>
      <c r="X48" s="54">
        <v>1.83</v>
      </c>
      <c r="Y48" s="53">
        <f t="shared" si="27"/>
        <v>0.06954</v>
      </c>
      <c r="Z48" s="69">
        <v>1.98</v>
      </c>
      <c r="AA48" s="53">
        <f t="shared" si="30"/>
        <v>11.67</v>
      </c>
      <c r="AB48" s="89">
        <f t="shared" si="24"/>
        <v>27.49</v>
      </c>
      <c r="AC48" s="69">
        <v>12.63</v>
      </c>
      <c r="AD48" s="71">
        <f t="shared" si="5"/>
        <v>1.3</v>
      </c>
      <c r="AE48" s="71">
        <f t="shared" si="28"/>
        <v>0.0494</v>
      </c>
      <c r="AF48" s="71">
        <v>1.4</v>
      </c>
      <c r="AG48" s="55">
        <f t="shared" si="6"/>
        <v>7</v>
      </c>
      <c r="AH48" s="55">
        <f t="shared" si="29"/>
        <v>0.266</v>
      </c>
      <c r="AI48" s="104">
        <v>7.57</v>
      </c>
      <c r="AJ48" s="69">
        <v>2.19</v>
      </c>
      <c r="AK48" s="69">
        <f t="shared" si="17"/>
        <v>0.08322</v>
      </c>
      <c r="AL48" s="82">
        <v>2.37</v>
      </c>
      <c r="AM48" s="53">
        <f>0.547*L48</f>
        <v>0</v>
      </c>
      <c r="AN48" s="55">
        <f t="shared" si="19"/>
        <v>0</v>
      </c>
      <c r="AO48" s="71">
        <f t="shared" si="25"/>
        <v>0</v>
      </c>
      <c r="AP48" s="60">
        <v>2.6</v>
      </c>
      <c r="AQ48" s="53">
        <f t="shared" si="20"/>
        <v>0.0988</v>
      </c>
      <c r="AR48" s="82">
        <v>2.81</v>
      </c>
      <c r="AS48" s="107">
        <v>0.66</v>
      </c>
      <c r="AT48" s="72">
        <f t="shared" si="21"/>
        <v>0.02508</v>
      </c>
      <c r="AU48" s="73">
        <v>0.71</v>
      </c>
      <c r="AV48" s="91">
        <f t="shared" si="10"/>
        <v>27.490000000000002</v>
      </c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</row>
    <row r="49" spans="1:59" ht="51.75">
      <c r="A49" s="17"/>
      <c r="B49" s="27">
        <v>29</v>
      </c>
      <c r="C49" s="67" t="s">
        <v>62</v>
      </c>
      <c r="D49" s="75">
        <v>53.11</v>
      </c>
      <c r="E49" s="76">
        <v>30.41</v>
      </c>
      <c r="F49" s="92">
        <v>2.1</v>
      </c>
      <c r="G49" s="92">
        <v>20.6</v>
      </c>
      <c r="H49" s="77">
        <v>13.9</v>
      </c>
      <c r="I49" s="77">
        <v>13.04</v>
      </c>
      <c r="J49" s="77">
        <v>23.17</v>
      </c>
      <c r="K49" s="77">
        <v>0</v>
      </c>
      <c r="L49" s="77">
        <v>0</v>
      </c>
      <c r="M49" s="77">
        <v>2.1</v>
      </c>
      <c r="N49" s="77">
        <v>0.9</v>
      </c>
      <c r="O49" s="78">
        <v>25.42</v>
      </c>
      <c r="P49" s="99"/>
      <c r="Q49" s="68">
        <v>27.49</v>
      </c>
      <c r="R49" s="69">
        <f t="shared" si="22"/>
        <v>12.94</v>
      </c>
      <c r="S49" s="69">
        <f t="shared" si="26"/>
        <v>0.49172</v>
      </c>
      <c r="T49" s="69">
        <v>13.99</v>
      </c>
      <c r="U49" s="53">
        <v>2.6</v>
      </c>
      <c r="V49" s="53">
        <f t="shared" si="23"/>
        <v>0.0988</v>
      </c>
      <c r="W49" s="82">
        <v>2.81</v>
      </c>
      <c r="X49" s="54">
        <v>9.88</v>
      </c>
      <c r="Y49" s="53">
        <f t="shared" si="27"/>
        <v>0.37544</v>
      </c>
      <c r="Z49" s="69">
        <v>10.69</v>
      </c>
      <c r="AA49" s="53">
        <f t="shared" si="30"/>
        <v>11.67</v>
      </c>
      <c r="AB49" s="89">
        <f t="shared" si="24"/>
        <v>27.490000000000002</v>
      </c>
      <c r="AC49" s="69">
        <v>12.63</v>
      </c>
      <c r="AD49" s="71">
        <f t="shared" si="5"/>
        <v>1.3</v>
      </c>
      <c r="AE49" s="71">
        <f t="shared" si="28"/>
        <v>0.0494</v>
      </c>
      <c r="AF49" s="71">
        <v>1.4</v>
      </c>
      <c r="AG49" s="55">
        <f t="shared" si="6"/>
        <v>7</v>
      </c>
      <c r="AH49" s="55">
        <f t="shared" si="29"/>
        <v>0.266</v>
      </c>
      <c r="AI49" s="104">
        <v>7.57</v>
      </c>
      <c r="AJ49" s="69">
        <v>2.19</v>
      </c>
      <c r="AK49" s="69">
        <f t="shared" si="17"/>
        <v>0.08322</v>
      </c>
      <c r="AL49" s="82">
        <v>2.37</v>
      </c>
      <c r="AM49" s="53">
        <f>0.475*L49</f>
        <v>0</v>
      </c>
      <c r="AN49" s="55">
        <f t="shared" si="19"/>
        <v>0</v>
      </c>
      <c r="AO49" s="71">
        <f t="shared" si="25"/>
        <v>0</v>
      </c>
      <c r="AP49" s="60">
        <v>2.6</v>
      </c>
      <c r="AQ49" s="53">
        <f t="shared" si="20"/>
        <v>0.0988</v>
      </c>
      <c r="AR49" s="82">
        <v>2.81</v>
      </c>
      <c r="AS49" s="107">
        <v>0.66</v>
      </c>
      <c r="AT49" s="72">
        <f t="shared" si="21"/>
        <v>0.02508</v>
      </c>
      <c r="AU49" s="73">
        <v>0.71</v>
      </c>
      <c r="AV49" s="91">
        <f t="shared" si="10"/>
        <v>27.490000000000002</v>
      </c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</row>
    <row r="50" spans="1:59" ht="42">
      <c r="A50" s="17"/>
      <c r="B50" s="27">
        <v>30</v>
      </c>
      <c r="C50" s="67" t="s">
        <v>63</v>
      </c>
      <c r="D50" s="75">
        <v>28.79</v>
      </c>
      <c r="E50" s="76">
        <v>15.49</v>
      </c>
      <c r="F50" s="92">
        <v>5.9</v>
      </c>
      <c r="G50" s="92">
        <v>7.4</v>
      </c>
      <c r="H50" s="77">
        <v>6.8</v>
      </c>
      <c r="I50" s="77">
        <v>5.01</v>
      </c>
      <c r="J50" s="77">
        <v>10.18</v>
      </c>
      <c r="K50" s="77">
        <v>0</v>
      </c>
      <c r="L50" s="77">
        <v>0</v>
      </c>
      <c r="M50" s="77">
        <v>5.9</v>
      </c>
      <c r="N50" s="77">
        <v>0.9</v>
      </c>
      <c r="O50" s="78">
        <v>19.64</v>
      </c>
      <c r="P50" s="99"/>
      <c r="Q50" s="68">
        <v>21.24</v>
      </c>
      <c r="R50" s="69">
        <f t="shared" si="22"/>
        <v>11.98</v>
      </c>
      <c r="S50" s="69">
        <f t="shared" si="26"/>
        <v>0.45524</v>
      </c>
      <c r="T50" s="69">
        <v>12.95</v>
      </c>
      <c r="U50" s="53">
        <v>2.6</v>
      </c>
      <c r="V50" s="53">
        <f t="shared" si="23"/>
        <v>0.0988</v>
      </c>
      <c r="W50" s="82">
        <v>2.81</v>
      </c>
      <c r="X50" s="54">
        <v>5.06</v>
      </c>
      <c r="Y50" s="53">
        <f t="shared" si="27"/>
        <v>0.19227999999999998</v>
      </c>
      <c r="Z50" s="69">
        <v>5.48</v>
      </c>
      <c r="AA50" s="53">
        <f t="shared" si="30"/>
        <v>8.27</v>
      </c>
      <c r="AB50" s="89">
        <f t="shared" si="24"/>
        <v>21.240000000000002</v>
      </c>
      <c r="AC50" s="69">
        <v>8.95</v>
      </c>
      <c r="AD50" s="71">
        <f t="shared" si="5"/>
        <v>0.92</v>
      </c>
      <c r="AE50" s="71">
        <f t="shared" si="28"/>
        <v>0.03496</v>
      </c>
      <c r="AF50" s="71">
        <v>0.99</v>
      </c>
      <c r="AG50" s="55">
        <f t="shared" si="6"/>
        <v>5</v>
      </c>
      <c r="AH50" s="55">
        <f t="shared" si="29"/>
        <v>0.19</v>
      </c>
      <c r="AI50" s="104">
        <v>5.41</v>
      </c>
      <c r="AJ50" s="69">
        <v>2.19</v>
      </c>
      <c r="AK50" s="69">
        <f t="shared" si="17"/>
        <v>0.08322</v>
      </c>
      <c r="AL50" s="82">
        <v>2.37</v>
      </c>
      <c r="AM50" s="53">
        <f>0.682*L50</f>
        <v>0</v>
      </c>
      <c r="AN50" s="55">
        <f t="shared" si="19"/>
        <v>0</v>
      </c>
      <c r="AO50" s="71">
        <f t="shared" si="25"/>
        <v>0</v>
      </c>
      <c r="AP50" s="60">
        <v>2.6</v>
      </c>
      <c r="AQ50" s="53">
        <f t="shared" si="20"/>
        <v>0.0988</v>
      </c>
      <c r="AR50" s="82">
        <v>2.81</v>
      </c>
      <c r="AS50" s="107">
        <v>0.66</v>
      </c>
      <c r="AT50" s="72">
        <f t="shared" si="21"/>
        <v>0.02508</v>
      </c>
      <c r="AU50" s="73">
        <v>0.71</v>
      </c>
      <c r="AV50" s="91">
        <f t="shared" si="10"/>
        <v>21.24</v>
      </c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</row>
    <row r="51" spans="1:59" ht="51.75" customHeight="1">
      <c r="A51" s="17"/>
      <c r="B51" s="27">
        <v>31</v>
      </c>
      <c r="C51" s="67" t="s">
        <v>64</v>
      </c>
      <c r="D51" s="75">
        <v>29.17</v>
      </c>
      <c r="E51" s="92">
        <v>22.07</v>
      </c>
      <c r="F51" s="92">
        <v>5.9</v>
      </c>
      <c r="G51" s="92">
        <v>1.2</v>
      </c>
      <c r="H51" s="77">
        <v>2</v>
      </c>
      <c r="I51" s="77">
        <v>4.12</v>
      </c>
      <c r="J51" s="77">
        <v>16.35</v>
      </c>
      <c r="K51" s="77">
        <v>0</v>
      </c>
      <c r="L51" s="77">
        <v>0</v>
      </c>
      <c r="M51" s="77">
        <v>5.9</v>
      </c>
      <c r="N51" s="77">
        <v>0.8</v>
      </c>
      <c r="O51" s="78">
        <v>19.64</v>
      </c>
      <c r="P51" s="99"/>
      <c r="Q51" s="68">
        <v>21.24</v>
      </c>
      <c r="R51" s="69">
        <f t="shared" si="22"/>
        <v>16.22</v>
      </c>
      <c r="S51" s="69">
        <f t="shared" si="26"/>
        <v>0.6163599999999999</v>
      </c>
      <c r="T51" s="69">
        <v>17.54</v>
      </c>
      <c r="U51" s="53">
        <v>2.6</v>
      </c>
      <c r="V51" s="53">
        <f t="shared" si="23"/>
        <v>0.0988</v>
      </c>
      <c r="W51" s="82">
        <v>2.81</v>
      </c>
      <c r="X51" s="54">
        <v>0.82</v>
      </c>
      <c r="Y51" s="53">
        <f t="shared" si="27"/>
        <v>0.031159999999999997</v>
      </c>
      <c r="Z51" s="69">
        <v>0.89</v>
      </c>
      <c r="AA51" s="53">
        <f t="shared" si="30"/>
        <v>8.27</v>
      </c>
      <c r="AB51" s="89">
        <f t="shared" si="24"/>
        <v>21.24</v>
      </c>
      <c r="AC51" s="69">
        <v>8.95</v>
      </c>
      <c r="AD51" s="71">
        <f t="shared" si="5"/>
        <v>0.92</v>
      </c>
      <c r="AE51" s="71">
        <f t="shared" si="28"/>
        <v>0.03496</v>
      </c>
      <c r="AF51" s="71">
        <v>0.99</v>
      </c>
      <c r="AG51" s="55">
        <f t="shared" si="6"/>
        <v>5</v>
      </c>
      <c r="AH51" s="55">
        <f t="shared" si="29"/>
        <v>0.19</v>
      </c>
      <c r="AI51" s="104">
        <v>5.41</v>
      </c>
      <c r="AJ51" s="69">
        <v>2.19</v>
      </c>
      <c r="AK51" s="69">
        <f t="shared" si="17"/>
        <v>0.08322</v>
      </c>
      <c r="AL51" s="82">
        <v>2.37</v>
      </c>
      <c r="AM51" s="53">
        <f>0.673*L51</f>
        <v>0</v>
      </c>
      <c r="AN51" s="55">
        <f t="shared" si="19"/>
        <v>0</v>
      </c>
      <c r="AO51" s="71">
        <f t="shared" si="25"/>
        <v>0</v>
      </c>
      <c r="AP51" s="60">
        <v>2.6</v>
      </c>
      <c r="AQ51" s="53">
        <f t="shared" si="20"/>
        <v>0.0988</v>
      </c>
      <c r="AR51" s="82">
        <v>2.81</v>
      </c>
      <c r="AS51" s="107">
        <v>0.66</v>
      </c>
      <c r="AT51" s="72">
        <f t="shared" si="21"/>
        <v>0.02508</v>
      </c>
      <c r="AU51" s="73">
        <v>0.71</v>
      </c>
      <c r="AV51" s="91">
        <f t="shared" si="10"/>
        <v>21.24</v>
      </c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1:59" ht="51.75">
      <c r="A52" s="17"/>
      <c r="B52" s="27">
        <v>32</v>
      </c>
      <c r="C52" s="67" t="s">
        <v>65</v>
      </c>
      <c r="D52" s="75">
        <v>40.79</v>
      </c>
      <c r="E52" s="92">
        <v>29.09</v>
      </c>
      <c r="F52" s="92">
        <v>5.9</v>
      </c>
      <c r="G52" s="92">
        <v>5.8</v>
      </c>
      <c r="H52" s="77">
        <v>5.3</v>
      </c>
      <c r="I52" s="77">
        <v>4.38</v>
      </c>
      <c r="J52" s="77">
        <v>24.41</v>
      </c>
      <c r="K52" s="77">
        <v>0</v>
      </c>
      <c r="L52" s="77">
        <v>0</v>
      </c>
      <c r="M52" s="77">
        <v>5.9</v>
      </c>
      <c r="N52" s="77">
        <v>0.8</v>
      </c>
      <c r="O52" s="78">
        <v>25.42</v>
      </c>
      <c r="P52" s="99"/>
      <c r="Q52" s="68">
        <v>27.49</v>
      </c>
      <c r="R52" s="69">
        <f t="shared" si="22"/>
        <v>19.19</v>
      </c>
      <c r="S52" s="69">
        <f t="shared" si="26"/>
        <v>0.72922</v>
      </c>
      <c r="T52" s="69">
        <v>20.75</v>
      </c>
      <c r="U52" s="53">
        <v>2.6</v>
      </c>
      <c r="V52" s="53">
        <f t="shared" si="23"/>
        <v>0.0988</v>
      </c>
      <c r="W52" s="82">
        <v>2.81</v>
      </c>
      <c r="X52" s="54">
        <v>3.63</v>
      </c>
      <c r="Y52" s="53">
        <f t="shared" si="27"/>
        <v>0.13793999999999998</v>
      </c>
      <c r="Z52" s="69">
        <v>3.93</v>
      </c>
      <c r="AA52" s="53">
        <f t="shared" si="30"/>
        <v>11.67</v>
      </c>
      <c r="AB52" s="89">
        <f t="shared" si="24"/>
        <v>27.49</v>
      </c>
      <c r="AC52" s="69">
        <v>12.63</v>
      </c>
      <c r="AD52" s="71">
        <f t="shared" si="5"/>
        <v>1.3</v>
      </c>
      <c r="AE52" s="71">
        <f t="shared" si="28"/>
        <v>0.0494</v>
      </c>
      <c r="AF52" s="71">
        <v>1.4</v>
      </c>
      <c r="AG52" s="55">
        <f t="shared" si="6"/>
        <v>7</v>
      </c>
      <c r="AH52" s="55">
        <f t="shared" si="29"/>
        <v>0.266</v>
      </c>
      <c r="AI52" s="104">
        <v>7.57</v>
      </c>
      <c r="AJ52" s="69">
        <v>2.19</v>
      </c>
      <c r="AK52" s="69">
        <f t="shared" si="17"/>
        <v>0.08322</v>
      </c>
      <c r="AL52" s="82">
        <v>2.37</v>
      </c>
      <c r="AM52" s="53">
        <f>0.623*L52</f>
        <v>0</v>
      </c>
      <c r="AN52" s="55">
        <f t="shared" si="19"/>
        <v>0</v>
      </c>
      <c r="AO52" s="71">
        <f t="shared" si="25"/>
        <v>0</v>
      </c>
      <c r="AP52" s="60">
        <v>2.6</v>
      </c>
      <c r="AQ52" s="53">
        <f t="shared" si="20"/>
        <v>0.0988</v>
      </c>
      <c r="AR52" s="82">
        <v>2.81</v>
      </c>
      <c r="AS52" s="107">
        <v>0.66</v>
      </c>
      <c r="AT52" s="72">
        <f t="shared" si="21"/>
        <v>0.02508</v>
      </c>
      <c r="AU52" s="73">
        <v>0.71</v>
      </c>
      <c r="AV52" s="91">
        <f t="shared" si="10"/>
        <v>27.490000000000002</v>
      </c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1:59" ht="42">
      <c r="A53" s="17"/>
      <c r="B53" s="27">
        <v>33</v>
      </c>
      <c r="C53" s="67" t="s">
        <v>66</v>
      </c>
      <c r="D53" s="75">
        <v>42.98</v>
      </c>
      <c r="E53" s="76">
        <v>25.68</v>
      </c>
      <c r="F53" s="92">
        <v>5.9</v>
      </c>
      <c r="G53" s="92">
        <v>11.4</v>
      </c>
      <c r="H53" s="77">
        <v>9.1</v>
      </c>
      <c r="I53" s="77">
        <v>6.95</v>
      </c>
      <c r="J53" s="77">
        <v>20.13</v>
      </c>
      <c r="K53" s="77">
        <v>0</v>
      </c>
      <c r="L53" s="77">
        <v>0</v>
      </c>
      <c r="M53" s="77">
        <v>5.9</v>
      </c>
      <c r="N53" s="77">
        <v>0.9</v>
      </c>
      <c r="O53" s="78">
        <v>25.42</v>
      </c>
      <c r="P53" s="99"/>
      <c r="Q53" s="68">
        <v>27.49</v>
      </c>
      <c r="R53" s="69">
        <f t="shared" si="22"/>
        <v>16.07</v>
      </c>
      <c r="S53" s="69">
        <f t="shared" si="26"/>
        <v>0.61066</v>
      </c>
      <c r="T53" s="69">
        <v>17.38</v>
      </c>
      <c r="U53" s="53">
        <v>2.6</v>
      </c>
      <c r="V53" s="53">
        <f t="shared" si="23"/>
        <v>0.0988</v>
      </c>
      <c r="W53" s="82">
        <v>2.81</v>
      </c>
      <c r="X53" s="54">
        <v>6.75</v>
      </c>
      <c r="Y53" s="53">
        <f t="shared" si="27"/>
        <v>0.2565</v>
      </c>
      <c r="Z53" s="69">
        <v>7.3</v>
      </c>
      <c r="AA53" s="53">
        <f t="shared" si="30"/>
        <v>11.67</v>
      </c>
      <c r="AB53" s="89">
        <f t="shared" si="24"/>
        <v>27.49</v>
      </c>
      <c r="AC53" s="69">
        <v>12.63</v>
      </c>
      <c r="AD53" s="71">
        <f t="shared" si="5"/>
        <v>1.3</v>
      </c>
      <c r="AE53" s="71">
        <f t="shared" si="28"/>
        <v>0.0494</v>
      </c>
      <c r="AF53" s="71">
        <v>1.4</v>
      </c>
      <c r="AG53" s="55">
        <f t="shared" si="6"/>
        <v>7</v>
      </c>
      <c r="AH53" s="55">
        <f t="shared" si="29"/>
        <v>0.266</v>
      </c>
      <c r="AI53" s="104">
        <v>7.57</v>
      </c>
      <c r="AJ53" s="69">
        <v>2.19</v>
      </c>
      <c r="AK53" s="69">
        <f t="shared" si="17"/>
        <v>0.08322</v>
      </c>
      <c r="AL53" s="82">
        <v>2.37</v>
      </c>
      <c r="AM53" s="53">
        <f>0.591*L53</f>
        <v>0</v>
      </c>
      <c r="AN53" s="55">
        <f t="shared" si="19"/>
        <v>0</v>
      </c>
      <c r="AO53" s="71">
        <f t="shared" si="25"/>
        <v>0</v>
      </c>
      <c r="AP53" s="60">
        <v>2.6</v>
      </c>
      <c r="AQ53" s="53">
        <f t="shared" si="20"/>
        <v>0.0988</v>
      </c>
      <c r="AR53" s="82">
        <v>2.81</v>
      </c>
      <c r="AS53" s="107">
        <v>0.66</v>
      </c>
      <c r="AT53" s="72">
        <f t="shared" si="21"/>
        <v>0.02508</v>
      </c>
      <c r="AU53" s="73">
        <v>0.71</v>
      </c>
      <c r="AV53" s="91">
        <f t="shared" si="10"/>
        <v>27.490000000000002</v>
      </c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1:59" ht="42">
      <c r="A54" s="17"/>
      <c r="B54" s="27">
        <v>34</v>
      </c>
      <c r="C54" s="67" t="s">
        <v>67</v>
      </c>
      <c r="D54" s="75">
        <v>21.08</v>
      </c>
      <c r="E54" s="92">
        <v>18.28</v>
      </c>
      <c r="F54" s="92">
        <v>2.2</v>
      </c>
      <c r="G54" s="92">
        <v>0.6</v>
      </c>
      <c r="H54" s="77">
        <v>3.1</v>
      </c>
      <c r="I54" s="77">
        <v>3.05</v>
      </c>
      <c r="J54" s="77">
        <v>11.83</v>
      </c>
      <c r="K54" s="77">
        <v>0</v>
      </c>
      <c r="L54" s="77">
        <v>0</v>
      </c>
      <c r="M54" s="77">
        <v>2.2</v>
      </c>
      <c r="N54" s="77">
        <v>0.9</v>
      </c>
      <c r="O54" s="103">
        <v>23.25</v>
      </c>
      <c r="P54" s="99"/>
      <c r="Q54" s="68">
        <v>25.15</v>
      </c>
      <c r="R54" s="69">
        <v>17.48</v>
      </c>
      <c r="S54" s="69">
        <f t="shared" si="26"/>
        <v>0.66424</v>
      </c>
      <c r="T54" s="69">
        <v>18.91</v>
      </c>
      <c r="U54" s="53">
        <v>2.6</v>
      </c>
      <c r="V54" s="53">
        <f t="shared" si="23"/>
        <v>0.0988</v>
      </c>
      <c r="W54" s="82">
        <v>2.81</v>
      </c>
      <c r="X54" s="60">
        <f>O54-R54-U54</f>
        <v>3.1699999999999995</v>
      </c>
      <c r="Y54" s="53">
        <f t="shared" si="27"/>
        <v>0.12045999999999998</v>
      </c>
      <c r="Z54" s="69">
        <v>3.43</v>
      </c>
      <c r="AA54" s="53">
        <f t="shared" si="30"/>
        <v>10.62</v>
      </c>
      <c r="AB54" s="89">
        <f t="shared" si="24"/>
        <v>25.15</v>
      </c>
      <c r="AC54" s="69">
        <v>11.49</v>
      </c>
      <c r="AD54" s="71">
        <f t="shared" si="5"/>
        <v>1.18</v>
      </c>
      <c r="AE54" s="71">
        <f t="shared" si="28"/>
        <v>0.04484</v>
      </c>
      <c r="AF54" s="71">
        <v>1.28</v>
      </c>
      <c r="AG54" s="55">
        <f t="shared" si="6"/>
        <v>6</v>
      </c>
      <c r="AH54" s="55">
        <f t="shared" si="29"/>
        <v>0.22799999999999998</v>
      </c>
      <c r="AI54" s="104">
        <v>6.49</v>
      </c>
      <c r="AJ54" s="74">
        <v>2.19</v>
      </c>
      <c r="AK54" s="69">
        <f t="shared" si="17"/>
        <v>0.08322</v>
      </c>
      <c r="AL54" s="82">
        <v>2.37</v>
      </c>
      <c r="AM54" s="60">
        <v>0</v>
      </c>
      <c r="AN54" s="55">
        <f t="shared" si="19"/>
        <v>0</v>
      </c>
      <c r="AO54" s="71">
        <f t="shared" si="25"/>
        <v>0</v>
      </c>
      <c r="AP54" s="60">
        <v>2.6</v>
      </c>
      <c r="AQ54" s="53">
        <f t="shared" si="20"/>
        <v>0.0988</v>
      </c>
      <c r="AR54" s="82">
        <v>2.81</v>
      </c>
      <c r="AS54" s="107">
        <v>0.66</v>
      </c>
      <c r="AT54" s="72">
        <f t="shared" si="21"/>
        <v>0.02508</v>
      </c>
      <c r="AU54" s="73">
        <v>0.71</v>
      </c>
      <c r="AV54" s="91">
        <f t="shared" si="10"/>
        <v>25.15</v>
      </c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1:59" ht="42">
      <c r="A55" s="17"/>
      <c r="B55" s="27">
        <v>35</v>
      </c>
      <c r="C55" s="67" t="s">
        <v>68</v>
      </c>
      <c r="D55" s="75">
        <v>71.1</v>
      </c>
      <c r="E55" s="92">
        <v>29.1</v>
      </c>
      <c r="F55" s="92">
        <v>5.9</v>
      </c>
      <c r="G55" s="92">
        <v>36.1</v>
      </c>
      <c r="H55" s="77">
        <v>35</v>
      </c>
      <c r="I55" s="77">
        <v>4.68</v>
      </c>
      <c r="J55" s="77">
        <v>24.62</v>
      </c>
      <c r="K55" s="77">
        <v>0</v>
      </c>
      <c r="L55" s="77">
        <v>0</v>
      </c>
      <c r="M55" s="77">
        <v>5.9</v>
      </c>
      <c r="N55" s="77">
        <v>0.9</v>
      </c>
      <c r="O55" s="78">
        <v>19.64</v>
      </c>
      <c r="P55" s="99"/>
      <c r="Q55" s="68">
        <v>21.24</v>
      </c>
      <c r="R55" s="69">
        <f t="shared" si="22"/>
        <v>7.059999999999999</v>
      </c>
      <c r="S55" s="69">
        <f t="shared" si="26"/>
        <v>0.26827999999999996</v>
      </c>
      <c r="T55" s="69">
        <v>7.63</v>
      </c>
      <c r="U55" s="53">
        <v>2.6</v>
      </c>
      <c r="V55" s="53">
        <f t="shared" si="23"/>
        <v>0.0988</v>
      </c>
      <c r="W55" s="82">
        <v>2.81</v>
      </c>
      <c r="X55" s="54">
        <v>9.98</v>
      </c>
      <c r="Y55" s="53">
        <f t="shared" si="27"/>
        <v>0.37924</v>
      </c>
      <c r="Z55" s="69">
        <v>10.8</v>
      </c>
      <c r="AA55" s="53">
        <f t="shared" si="30"/>
        <v>8.27</v>
      </c>
      <c r="AB55" s="89">
        <f t="shared" si="24"/>
        <v>21.240000000000002</v>
      </c>
      <c r="AC55" s="69">
        <v>8.95</v>
      </c>
      <c r="AD55" s="71">
        <f t="shared" si="5"/>
        <v>0.92</v>
      </c>
      <c r="AE55" s="71">
        <f t="shared" si="28"/>
        <v>0.03496</v>
      </c>
      <c r="AF55" s="71">
        <v>0.99</v>
      </c>
      <c r="AG55" s="55">
        <f t="shared" si="6"/>
        <v>5</v>
      </c>
      <c r="AH55" s="55">
        <f t="shared" si="29"/>
        <v>0.19</v>
      </c>
      <c r="AI55" s="104">
        <v>5.41</v>
      </c>
      <c r="AJ55" s="69">
        <v>2.19</v>
      </c>
      <c r="AK55" s="69">
        <f t="shared" si="17"/>
        <v>0.08322</v>
      </c>
      <c r="AL55" s="82">
        <v>2.37</v>
      </c>
      <c r="AM55" s="53">
        <f>0.276*L55</f>
        <v>0</v>
      </c>
      <c r="AN55" s="55">
        <f t="shared" si="19"/>
        <v>0</v>
      </c>
      <c r="AO55" s="71">
        <f t="shared" si="25"/>
        <v>0</v>
      </c>
      <c r="AP55" s="60">
        <v>2.6</v>
      </c>
      <c r="AQ55" s="53">
        <f t="shared" si="20"/>
        <v>0.0988</v>
      </c>
      <c r="AR55" s="82">
        <v>2.81</v>
      </c>
      <c r="AS55" s="107">
        <v>0.66</v>
      </c>
      <c r="AT55" s="72">
        <f t="shared" si="21"/>
        <v>0.02508</v>
      </c>
      <c r="AU55" s="73">
        <v>0.71</v>
      </c>
      <c r="AV55" s="91">
        <f t="shared" si="10"/>
        <v>21.24</v>
      </c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3:28" s="1" customFormat="1" ht="13.5" customHeight="1">
      <c r="C56" s="2"/>
      <c r="P56" s="15"/>
      <c r="Q56" s="15"/>
      <c r="Y56" s="15"/>
      <c r="Z56" s="15"/>
      <c r="AB56" s="83"/>
    </row>
    <row r="57" spans="2:45" s="1" customFormat="1" ht="13.5" customHeight="1">
      <c r="B57" s="28" t="s">
        <v>69</v>
      </c>
      <c r="C57" s="2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2"/>
      <c r="Q57" s="32"/>
      <c r="R57" s="28"/>
      <c r="S57" s="28"/>
      <c r="T57" s="28"/>
      <c r="U57" s="28"/>
      <c r="V57" s="28"/>
      <c r="W57" s="28"/>
      <c r="X57" s="28"/>
      <c r="Y57" s="32"/>
      <c r="Z57" s="32"/>
      <c r="AA57" s="28"/>
      <c r="AB57" s="90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2:45" s="1" customFormat="1" ht="32.25" customHeight="1">
      <c r="B58" s="138" t="s">
        <v>70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</row>
    <row r="59" spans="2:45" s="1" customFormat="1" ht="60" customHeight="1">
      <c r="B59" s="139" t="s">
        <v>71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</row>
    <row r="60" spans="2:45" s="1" customFormat="1" ht="33" customHeight="1">
      <c r="B60" s="139" t="s">
        <v>75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</row>
    <row r="61" spans="2:45" s="1" customFormat="1" ht="13.5" customHeight="1">
      <c r="B61" s="28" t="s">
        <v>72</v>
      </c>
      <c r="C61" s="29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2"/>
      <c r="Q61" s="32"/>
      <c r="R61" s="28"/>
      <c r="S61" s="28"/>
      <c r="T61" s="28"/>
      <c r="U61" s="28"/>
      <c r="V61" s="28"/>
      <c r="W61" s="28"/>
      <c r="X61" s="28"/>
      <c r="Y61" s="32"/>
      <c r="Z61" s="32"/>
      <c r="AA61" s="28"/>
      <c r="AB61" s="90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2:45" s="1" customFormat="1" ht="13.5" customHeight="1">
      <c r="B62" s="28" t="s">
        <v>73</v>
      </c>
      <c r="C62" s="29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32"/>
      <c r="Q62" s="32"/>
      <c r="R62" s="28"/>
      <c r="S62" s="28"/>
      <c r="T62" s="28"/>
      <c r="U62" s="28"/>
      <c r="V62" s="28"/>
      <c r="W62" s="28"/>
      <c r="X62" s="28"/>
      <c r="Y62" s="32"/>
      <c r="Z62" s="32"/>
      <c r="AA62" s="28"/>
      <c r="AB62" s="90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</row>
    <row r="63" spans="2:45" s="1" customFormat="1" ht="3.75" customHeight="1">
      <c r="B63" s="142" t="s">
        <v>74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</row>
    <row r="64" spans="2:45" s="1" customFormat="1" ht="13.5" customHeight="1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</row>
    <row r="65" spans="2:45" s="1" customFormat="1" ht="12.75" customHeight="1"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</row>
    <row r="66" spans="3:28" s="1" customFormat="1" ht="14.25">
      <c r="C66" s="2"/>
      <c r="P66" s="15"/>
      <c r="Q66" s="15"/>
      <c r="Y66" s="15"/>
      <c r="Z66" s="15"/>
      <c r="AB66" s="83"/>
    </row>
    <row r="67" spans="3:28" s="1" customFormat="1" ht="14.25">
      <c r="C67" s="2"/>
      <c r="P67" s="15"/>
      <c r="Q67" s="15"/>
      <c r="Y67" s="15"/>
      <c r="Z67" s="15"/>
      <c r="AB67" s="83"/>
    </row>
    <row r="68" spans="3:28" s="1" customFormat="1" ht="14.25">
      <c r="C68" s="2"/>
      <c r="P68" s="15"/>
      <c r="Q68" s="15"/>
      <c r="Y68" s="15"/>
      <c r="Z68" s="15"/>
      <c r="AB68" s="83"/>
    </row>
    <row r="69" spans="3:28" s="1" customFormat="1" ht="14.25">
      <c r="C69" s="2"/>
      <c r="P69" s="15"/>
      <c r="Q69" s="15"/>
      <c r="Y69" s="15"/>
      <c r="Z69" s="15"/>
      <c r="AB69" s="83"/>
    </row>
    <row r="70" spans="3:28" s="1" customFormat="1" ht="14.25">
      <c r="C70" s="2"/>
      <c r="P70" s="15"/>
      <c r="Q70" s="15"/>
      <c r="Y70" s="15"/>
      <c r="Z70" s="15"/>
      <c r="AB70" s="83"/>
    </row>
    <row r="71" spans="3:28" s="1" customFormat="1" ht="14.25">
      <c r="C71" s="2"/>
      <c r="P71" s="15"/>
      <c r="Q71" s="15"/>
      <c r="Y71" s="15"/>
      <c r="Z71" s="15"/>
      <c r="AB71" s="83"/>
    </row>
    <row r="72" spans="3:28" s="1" customFormat="1" ht="14.25">
      <c r="C72" s="2"/>
      <c r="P72" s="15"/>
      <c r="Q72" s="15"/>
      <c r="Y72" s="15"/>
      <c r="Z72" s="15"/>
      <c r="AB72" s="83"/>
    </row>
    <row r="73" spans="3:28" s="1" customFormat="1" ht="14.25">
      <c r="C73" s="2"/>
      <c r="P73" s="15"/>
      <c r="Q73" s="15"/>
      <c r="Y73" s="15"/>
      <c r="Z73" s="15"/>
      <c r="AB73" s="83"/>
    </row>
    <row r="74" spans="3:28" s="1" customFormat="1" ht="14.25">
      <c r="C74" s="2"/>
      <c r="P74" s="15"/>
      <c r="Q74" s="15"/>
      <c r="Y74" s="15"/>
      <c r="Z74" s="15"/>
      <c r="AB74" s="83"/>
    </row>
    <row r="75" spans="3:28" s="1" customFormat="1" ht="14.25">
      <c r="C75" s="2"/>
      <c r="P75" s="15"/>
      <c r="Q75" s="15"/>
      <c r="Y75" s="15"/>
      <c r="Z75" s="15"/>
      <c r="AB75" s="83"/>
    </row>
    <row r="76" spans="3:28" s="1" customFormat="1" ht="14.25">
      <c r="C76" s="2"/>
      <c r="P76" s="15"/>
      <c r="Q76" s="15"/>
      <c r="Y76" s="15"/>
      <c r="Z76" s="15"/>
      <c r="AB76" s="83"/>
    </row>
    <row r="77" spans="3:28" s="1" customFormat="1" ht="14.25">
      <c r="C77" s="2"/>
      <c r="P77" s="15"/>
      <c r="Q77" s="15"/>
      <c r="Y77" s="15"/>
      <c r="Z77" s="15"/>
      <c r="AB77" s="83"/>
    </row>
    <row r="78" spans="3:28" s="1" customFormat="1" ht="14.25">
      <c r="C78" s="2"/>
      <c r="P78" s="15"/>
      <c r="Q78" s="15"/>
      <c r="Y78" s="15"/>
      <c r="Z78" s="15"/>
      <c r="AB78" s="83"/>
    </row>
    <row r="79" spans="3:28" s="1" customFormat="1" ht="14.25">
      <c r="C79" s="2"/>
      <c r="P79" s="15"/>
      <c r="Q79" s="15"/>
      <c r="Y79" s="15"/>
      <c r="Z79" s="15"/>
      <c r="AB79" s="83"/>
    </row>
    <row r="80" spans="3:28" s="1" customFormat="1" ht="14.25">
      <c r="C80" s="2"/>
      <c r="P80" s="15"/>
      <c r="Q80" s="15"/>
      <c r="Y80" s="15"/>
      <c r="Z80" s="15"/>
      <c r="AB80" s="83"/>
    </row>
    <row r="81" spans="3:28" s="1" customFormat="1" ht="14.25">
      <c r="C81" s="2"/>
      <c r="P81" s="15"/>
      <c r="Q81" s="15"/>
      <c r="Y81" s="15"/>
      <c r="Z81" s="15"/>
      <c r="AB81" s="83"/>
    </row>
    <row r="82" spans="3:28" s="1" customFormat="1" ht="14.25">
      <c r="C82" s="2"/>
      <c r="P82" s="15"/>
      <c r="Q82" s="15"/>
      <c r="Y82" s="15"/>
      <c r="Z82" s="15"/>
      <c r="AB82" s="83"/>
    </row>
    <row r="83" spans="3:28" s="1" customFormat="1" ht="14.25">
      <c r="C83" s="2"/>
      <c r="P83" s="15"/>
      <c r="Q83" s="15"/>
      <c r="Y83" s="15"/>
      <c r="Z83" s="15"/>
      <c r="AB83" s="83"/>
    </row>
    <row r="84" spans="3:28" s="1" customFormat="1" ht="14.25">
      <c r="C84" s="2"/>
      <c r="P84" s="15"/>
      <c r="Q84" s="15"/>
      <c r="Y84" s="15"/>
      <c r="Z84" s="15"/>
      <c r="AB84" s="83"/>
    </row>
    <row r="85" spans="3:28" s="1" customFormat="1" ht="14.25">
      <c r="C85" s="2"/>
      <c r="P85" s="15"/>
      <c r="Q85" s="15"/>
      <c r="Y85" s="15"/>
      <c r="Z85" s="15"/>
      <c r="AB85" s="83"/>
    </row>
    <row r="86" spans="3:28" s="1" customFormat="1" ht="14.25">
      <c r="C86" s="2"/>
      <c r="P86" s="15"/>
      <c r="Q86" s="15"/>
      <c r="Y86" s="15"/>
      <c r="Z86" s="15"/>
      <c r="AB86" s="83"/>
    </row>
    <row r="87" spans="3:28" s="1" customFormat="1" ht="14.25">
      <c r="C87" s="2"/>
      <c r="P87" s="15"/>
      <c r="Q87" s="15"/>
      <c r="Y87" s="15"/>
      <c r="Z87" s="15"/>
      <c r="AB87" s="83"/>
    </row>
    <row r="88" spans="3:28" s="1" customFormat="1" ht="14.25">
      <c r="C88" s="2"/>
      <c r="P88" s="15"/>
      <c r="Q88" s="15"/>
      <c r="Y88" s="15"/>
      <c r="Z88" s="15"/>
      <c r="AB88" s="83"/>
    </row>
    <row r="89" spans="3:28" s="1" customFormat="1" ht="14.25">
      <c r="C89" s="2"/>
      <c r="P89" s="15"/>
      <c r="Q89" s="15"/>
      <c r="Y89" s="15"/>
      <c r="Z89" s="15"/>
      <c r="AB89" s="83"/>
    </row>
    <row r="90" spans="3:28" s="1" customFormat="1" ht="14.25">
      <c r="C90" s="2"/>
      <c r="P90" s="15"/>
      <c r="Q90" s="15"/>
      <c r="Y90" s="15"/>
      <c r="Z90" s="15"/>
      <c r="AB90" s="83"/>
    </row>
    <row r="91" spans="3:28" s="1" customFormat="1" ht="14.25">
      <c r="C91" s="2"/>
      <c r="P91" s="15"/>
      <c r="Q91" s="15"/>
      <c r="Y91" s="15"/>
      <c r="Z91" s="15"/>
      <c r="AB91" s="83"/>
    </row>
    <row r="92" spans="3:28" s="1" customFormat="1" ht="14.25">
      <c r="C92" s="2"/>
      <c r="P92" s="15"/>
      <c r="Q92" s="15"/>
      <c r="Y92" s="15"/>
      <c r="Z92" s="15"/>
      <c r="AB92" s="83"/>
    </row>
    <row r="93" spans="3:28" s="1" customFormat="1" ht="14.25">
      <c r="C93" s="2"/>
      <c r="P93" s="15"/>
      <c r="Q93" s="15"/>
      <c r="Y93" s="15"/>
      <c r="Z93" s="15"/>
      <c r="AB93" s="83"/>
    </row>
    <row r="94" spans="3:28" s="1" customFormat="1" ht="14.25">
      <c r="C94" s="2"/>
      <c r="P94" s="15"/>
      <c r="Q94" s="15"/>
      <c r="Y94" s="15"/>
      <c r="Z94" s="15"/>
      <c r="AB94" s="83"/>
    </row>
    <row r="95" spans="3:28" s="1" customFormat="1" ht="14.25">
      <c r="C95" s="2"/>
      <c r="P95" s="15"/>
      <c r="Q95" s="15"/>
      <c r="Y95" s="15"/>
      <c r="Z95" s="15"/>
      <c r="AB95" s="83"/>
    </row>
    <row r="96" spans="3:28" s="1" customFormat="1" ht="14.25">
      <c r="C96" s="2"/>
      <c r="P96" s="15"/>
      <c r="Q96" s="15"/>
      <c r="Y96" s="15"/>
      <c r="Z96" s="15"/>
      <c r="AB96" s="83"/>
    </row>
    <row r="97" spans="3:28" s="1" customFormat="1" ht="14.25">
      <c r="C97" s="2"/>
      <c r="P97" s="15"/>
      <c r="Q97" s="15"/>
      <c r="Y97" s="15"/>
      <c r="Z97" s="15"/>
      <c r="AB97" s="83"/>
    </row>
    <row r="98" spans="3:28" s="1" customFormat="1" ht="14.25">
      <c r="C98" s="2"/>
      <c r="P98" s="15"/>
      <c r="Q98" s="15"/>
      <c r="Y98" s="15"/>
      <c r="Z98" s="15"/>
      <c r="AB98" s="83"/>
    </row>
    <row r="99" spans="3:28" s="1" customFormat="1" ht="14.25">
      <c r="C99" s="2"/>
      <c r="P99" s="15"/>
      <c r="Q99" s="15"/>
      <c r="Y99" s="15"/>
      <c r="Z99" s="15"/>
      <c r="AB99" s="83"/>
    </row>
    <row r="100" spans="3:28" s="1" customFormat="1" ht="14.25">
      <c r="C100" s="2"/>
      <c r="P100" s="15"/>
      <c r="Q100" s="15"/>
      <c r="Y100" s="15"/>
      <c r="Z100" s="15"/>
      <c r="AB100" s="83"/>
    </row>
    <row r="101" spans="3:28" s="1" customFormat="1" ht="14.25">
      <c r="C101" s="2"/>
      <c r="P101" s="15"/>
      <c r="Q101" s="15"/>
      <c r="Y101" s="15"/>
      <c r="Z101" s="15"/>
      <c r="AB101" s="83"/>
    </row>
    <row r="102" spans="3:28" s="1" customFormat="1" ht="14.25">
      <c r="C102" s="2"/>
      <c r="P102" s="15"/>
      <c r="Q102" s="15"/>
      <c r="Y102" s="15"/>
      <c r="Z102" s="15"/>
      <c r="AB102" s="83"/>
    </row>
    <row r="103" spans="3:28" s="1" customFormat="1" ht="14.25">
      <c r="C103" s="2"/>
      <c r="P103" s="15"/>
      <c r="Q103" s="15"/>
      <c r="Y103" s="15"/>
      <c r="Z103" s="15"/>
      <c r="AB103" s="83"/>
    </row>
    <row r="104" spans="3:28" s="1" customFormat="1" ht="14.25">
      <c r="C104" s="2"/>
      <c r="P104" s="15"/>
      <c r="Q104" s="15"/>
      <c r="Y104" s="15"/>
      <c r="Z104" s="15"/>
      <c r="AB104" s="83"/>
    </row>
    <row r="105" spans="3:28" s="1" customFormat="1" ht="14.25">
      <c r="C105" s="2"/>
      <c r="P105" s="15"/>
      <c r="Q105" s="15"/>
      <c r="Y105" s="15"/>
      <c r="Z105" s="15"/>
      <c r="AB105" s="83"/>
    </row>
    <row r="106" spans="3:28" s="1" customFormat="1" ht="14.25">
      <c r="C106" s="2"/>
      <c r="P106" s="15"/>
      <c r="Q106" s="15"/>
      <c r="Y106" s="15"/>
      <c r="Z106" s="15"/>
      <c r="AB106" s="83"/>
    </row>
    <row r="107" spans="3:28" s="1" customFormat="1" ht="14.25">
      <c r="C107" s="2"/>
      <c r="P107" s="15"/>
      <c r="Q107" s="15"/>
      <c r="Y107" s="15"/>
      <c r="Z107" s="15"/>
      <c r="AB107" s="83"/>
    </row>
    <row r="108" spans="3:28" s="1" customFormat="1" ht="14.25">
      <c r="C108" s="2"/>
      <c r="P108" s="15"/>
      <c r="Q108" s="15"/>
      <c r="Y108" s="15"/>
      <c r="Z108" s="15"/>
      <c r="AB108" s="83"/>
    </row>
    <row r="109" spans="3:28" s="1" customFormat="1" ht="14.25">
      <c r="C109" s="2"/>
      <c r="P109" s="15"/>
      <c r="Q109" s="15"/>
      <c r="Y109" s="15"/>
      <c r="Z109" s="15"/>
      <c r="AB109" s="83"/>
    </row>
    <row r="110" spans="3:28" s="1" customFormat="1" ht="14.25">
      <c r="C110" s="2"/>
      <c r="P110" s="15"/>
      <c r="Q110" s="15"/>
      <c r="Y110" s="15"/>
      <c r="Z110" s="15"/>
      <c r="AB110" s="83"/>
    </row>
    <row r="111" spans="3:28" s="1" customFormat="1" ht="14.25">
      <c r="C111" s="2"/>
      <c r="P111" s="15"/>
      <c r="Q111" s="15"/>
      <c r="Y111" s="15"/>
      <c r="Z111" s="15"/>
      <c r="AB111" s="83"/>
    </row>
    <row r="112" spans="3:28" s="1" customFormat="1" ht="14.25">
      <c r="C112" s="2"/>
      <c r="P112" s="15"/>
      <c r="Q112" s="15"/>
      <c r="Y112" s="15"/>
      <c r="Z112" s="15"/>
      <c r="AB112" s="83"/>
    </row>
    <row r="113" spans="3:28" s="1" customFormat="1" ht="14.25">
      <c r="C113" s="2"/>
      <c r="P113" s="15"/>
      <c r="Q113" s="15"/>
      <c r="Y113" s="15"/>
      <c r="Z113" s="15"/>
      <c r="AB113" s="83"/>
    </row>
    <row r="114" spans="3:28" s="1" customFormat="1" ht="14.25">
      <c r="C114" s="2"/>
      <c r="P114" s="15"/>
      <c r="Q114" s="15"/>
      <c r="Y114" s="15"/>
      <c r="Z114" s="15"/>
      <c r="AB114" s="83"/>
    </row>
    <row r="115" spans="3:28" s="1" customFormat="1" ht="14.25">
      <c r="C115" s="2"/>
      <c r="P115" s="15"/>
      <c r="Q115" s="15"/>
      <c r="Y115" s="15"/>
      <c r="Z115" s="15"/>
      <c r="AB115" s="83"/>
    </row>
    <row r="116" spans="3:28" s="1" customFormat="1" ht="14.25">
      <c r="C116" s="2"/>
      <c r="P116" s="15"/>
      <c r="Q116" s="15"/>
      <c r="Y116" s="15"/>
      <c r="Z116" s="15"/>
      <c r="AB116" s="83"/>
    </row>
    <row r="117" spans="3:28" s="1" customFormat="1" ht="14.25">
      <c r="C117" s="2"/>
      <c r="P117" s="15"/>
      <c r="Q117" s="15"/>
      <c r="Y117" s="15"/>
      <c r="Z117" s="15"/>
      <c r="AB117" s="83"/>
    </row>
    <row r="118" spans="3:28" s="1" customFormat="1" ht="14.25">
      <c r="C118" s="2"/>
      <c r="P118" s="15"/>
      <c r="Q118" s="15"/>
      <c r="Y118" s="15"/>
      <c r="Z118" s="15"/>
      <c r="AB118" s="83"/>
    </row>
    <row r="119" spans="3:28" s="1" customFormat="1" ht="14.25">
      <c r="C119" s="2"/>
      <c r="P119" s="15"/>
      <c r="Q119" s="15"/>
      <c r="Y119" s="15"/>
      <c r="Z119" s="15"/>
      <c r="AB119" s="83"/>
    </row>
    <row r="120" spans="3:28" s="1" customFormat="1" ht="14.25">
      <c r="C120" s="2"/>
      <c r="P120" s="15"/>
      <c r="Q120" s="15"/>
      <c r="Y120" s="15"/>
      <c r="Z120" s="15"/>
      <c r="AB120" s="83"/>
    </row>
    <row r="121" spans="3:28" s="1" customFormat="1" ht="14.25">
      <c r="C121" s="2"/>
      <c r="P121" s="15"/>
      <c r="Q121" s="15"/>
      <c r="Y121" s="15"/>
      <c r="Z121" s="15"/>
      <c r="AB121" s="83"/>
    </row>
    <row r="122" spans="3:28" s="1" customFormat="1" ht="14.25">
      <c r="C122" s="2"/>
      <c r="P122" s="15"/>
      <c r="Q122" s="15"/>
      <c r="Y122" s="15"/>
      <c r="Z122" s="15"/>
      <c r="AB122" s="83"/>
    </row>
    <row r="123" spans="3:28" s="1" customFormat="1" ht="14.25">
      <c r="C123" s="2"/>
      <c r="P123" s="15"/>
      <c r="Q123" s="15"/>
      <c r="Y123" s="15"/>
      <c r="Z123" s="15"/>
      <c r="AB123" s="83"/>
    </row>
    <row r="124" spans="3:28" s="1" customFormat="1" ht="14.25">
      <c r="C124" s="2"/>
      <c r="P124" s="15"/>
      <c r="Q124" s="15"/>
      <c r="Y124" s="15"/>
      <c r="Z124" s="15"/>
      <c r="AB124" s="83"/>
    </row>
    <row r="125" spans="3:28" s="1" customFormat="1" ht="14.25">
      <c r="C125" s="2"/>
      <c r="P125" s="15"/>
      <c r="Q125" s="15"/>
      <c r="Y125" s="15"/>
      <c r="Z125" s="15"/>
      <c r="AB125" s="83"/>
    </row>
    <row r="126" spans="3:28" s="1" customFormat="1" ht="14.25">
      <c r="C126" s="2"/>
      <c r="P126" s="15"/>
      <c r="Q126" s="15"/>
      <c r="Y126" s="15"/>
      <c r="Z126" s="15"/>
      <c r="AB126" s="83"/>
    </row>
    <row r="127" spans="3:28" s="1" customFormat="1" ht="14.25">
      <c r="C127" s="2"/>
      <c r="P127" s="15"/>
      <c r="Q127" s="15"/>
      <c r="Y127" s="15"/>
      <c r="Z127" s="15"/>
      <c r="AB127" s="83"/>
    </row>
    <row r="128" spans="3:28" s="1" customFormat="1" ht="14.25">
      <c r="C128" s="2"/>
      <c r="P128" s="15"/>
      <c r="Q128" s="15"/>
      <c r="Y128" s="15"/>
      <c r="Z128" s="15"/>
      <c r="AB128" s="83"/>
    </row>
    <row r="129" spans="3:28" s="1" customFormat="1" ht="14.25">
      <c r="C129" s="2"/>
      <c r="P129" s="15"/>
      <c r="Q129" s="15"/>
      <c r="Y129" s="15"/>
      <c r="Z129" s="15"/>
      <c r="AB129" s="83"/>
    </row>
    <row r="130" spans="3:28" s="1" customFormat="1" ht="14.25">
      <c r="C130" s="2"/>
      <c r="P130" s="15"/>
      <c r="Q130" s="15"/>
      <c r="Y130" s="15"/>
      <c r="Z130" s="15"/>
      <c r="AB130" s="83"/>
    </row>
    <row r="131" spans="3:28" s="1" customFormat="1" ht="14.25">
      <c r="C131" s="2"/>
      <c r="P131" s="15"/>
      <c r="Q131" s="15"/>
      <c r="Y131" s="15"/>
      <c r="Z131" s="15"/>
      <c r="AB131" s="83"/>
    </row>
    <row r="132" spans="3:28" s="1" customFormat="1" ht="14.25">
      <c r="C132" s="2"/>
      <c r="P132" s="15"/>
      <c r="Q132" s="15"/>
      <c r="Y132" s="15"/>
      <c r="Z132" s="15"/>
      <c r="AB132" s="83"/>
    </row>
    <row r="133" spans="3:28" s="1" customFormat="1" ht="14.25">
      <c r="C133" s="2"/>
      <c r="P133" s="15"/>
      <c r="Q133" s="15"/>
      <c r="Y133" s="15"/>
      <c r="Z133" s="15"/>
      <c r="AB133" s="83"/>
    </row>
    <row r="134" spans="3:28" s="1" customFormat="1" ht="14.25">
      <c r="C134" s="2"/>
      <c r="P134" s="15"/>
      <c r="Q134" s="15"/>
      <c r="Y134" s="15"/>
      <c r="Z134" s="15"/>
      <c r="AB134" s="83"/>
    </row>
    <row r="135" spans="3:28" s="1" customFormat="1" ht="14.25">
      <c r="C135" s="2"/>
      <c r="P135" s="15"/>
      <c r="Q135" s="15"/>
      <c r="Y135" s="15"/>
      <c r="Z135" s="15"/>
      <c r="AB135" s="83"/>
    </row>
    <row r="136" spans="3:28" s="1" customFormat="1" ht="14.25">
      <c r="C136" s="2"/>
      <c r="P136" s="15"/>
      <c r="Q136" s="15"/>
      <c r="Y136" s="15"/>
      <c r="Z136" s="15"/>
      <c r="AB136" s="83"/>
    </row>
    <row r="137" spans="3:28" s="1" customFormat="1" ht="14.25">
      <c r="C137" s="2"/>
      <c r="P137" s="15"/>
      <c r="Q137" s="15"/>
      <c r="Y137" s="15"/>
      <c r="Z137" s="15"/>
      <c r="AB137" s="83"/>
    </row>
    <row r="138" spans="3:28" s="1" customFormat="1" ht="14.25">
      <c r="C138" s="2"/>
      <c r="P138" s="15"/>
      <c r="Q138" s="15"/>
      <c r="Y138" s="15"/>
      <c r="Z138" s="15"/>
      <c r="AB138" s="83"/>
    </row>
    <row r="139" spans="3:28" s="1" customFormat="1" ht="14.25">
      <c r="C139" s="2"/>
      <c r="P139" s="15"/>
      <c r="Q139" s="15"/>
      <c r="Y139" s="15"/>
      <c r="Z139" s="15"/>
      <c r="AB139" s="83"/>
    </row>
    <row r="140" spans="3:28" s="1" customFormat="1" ht="14.25">
      <c r="C140" s="2"/>
      <c r="P140" s="15"/>
      <c r="Q140" s="15"/>
      <c r="Y140" s="15"/>
      <c r="Z140" s="15"/>
      <c r="AB140" s="83"/>
    </row>
    <row r="141" spans="3:28" s="1" customFormat="1" ht="14.25">
      <c r="C141" s="2"/>
      <c r="P141" s="15"/>
      <c r="Q141" s="15"/>
      <c r="Y141" s="15"/>
      <c r="Z141" s="15"/>
      <c r="AB141" s="83"/>
    </row>
    <row r="142" spans="3:28" s="1" customFormat="1" ht="14.25">
      <c r="C142" s="2"/>
      <c r="P142" s="15"/>
      <c r="Q142" s="15"/>
      <c r="Y142" s="15"/>
      <c r="Z142" s="15"/>
      <c r="AB142" s="83"/>
    </row>
    <row r="143" spans="3:28" s="1" customFormat="1" ht="14.25">
      <c r="C143" s="2"/>
      <c r="P143" s="15"/>
      <c r="Q143" s="15"/>
      <c r="Y143" s="15"/>
      <c r="Z143" s="15"/>
      <c r="AB143" s="83"/>
    </row>
    <row r="144" spans="3:28" s="1" customFormat="1" ht="14.25">
      <c r="C144" s="2"/>
      <c r="P144" s="15"/>
      <c r="Q144" s="15"/>
      <c r="Y144" s="15"/>
      <c r="Z144" s="15"/>
      <c r="AB144" s="83"/>
    </row>
    <row r="145" spans="3:28" s="1" customFormat="1" ht="14.25">
      <c r="C145" s="2"/>
      <c r="P145" s="15"/>
      <c r="Q145" s="15"/>
      <c r="Y145" s="15"/>
      <c r="Z145" s="15"/>
      <c r="AB145" s="83"/>
    </row>
    <row r="146" spans="3:28" s="1" customFormat="1" ht="14.25">
      <c r="C146" s="2"/>
      <c r="P146" s="15"/>
      <c r="Q146" s="15"/>
      <c r="Y146" s="15"/>
      <c r="Z146" s="15"/>
      <c r="AB146" s="83"/>
    </row>
    <row r="147" spans="3:28" s="1" customFormat="1" ht="14.25">
      <c r="C147" s="2"/>
      <c r="P147" s="15"/>
      <c r="Q147" s="15"/>
      <c r="Y147" s="15"/>
      <c r="Z147" s="15"/>
      <c r="AB147" s="83"/>
    </row>
    <row r="148" spans="3:28" s="1" customFormat="1" ht="14.25">
      <c r="C148" s="2"/>
      <c r="P148" s="15"/>
      <c r="Q148" s="15"/>
      <c r="Y148" s="15"/>
      <c r="Z148" s="15"/>
      <c r="AB148" s="83"/>
    </row>
    <row r="149" spans="3:28" s="1" customFormat="1" ht="14.25">
      <c r="C149" s="2"/>
      <c r="P149" s="15"/>
      <c r="Q149" s="15"/>
      <c r="Y149" s="15"/>
      <c r="Z149" s="15"/>
      <c r="AB149" s="83"/>
    </row>
    <row r="150" spans="3:28" s="1" customFormat="1" ht="14.25">
      <c r="C150" s="2"/>
      <c r="P150" s="15"/>
      <c r="Q150" s="15"/>
      <c r="Y150" s="15"/>
      <c r="Z150" s="15"/>
      <c r="AB150" s="83"/>
    </row>
    <row r="151" spans="3:28" s="1" customFormat="1" ht="14.25">
      <c r="C151" s="2"/>
      <c r="P151" s="15"/>
      <c r="Q151" s="15"/>
      <c r="Y151" s="15"/>
      <c r="Z151" s="15"/>
      <c r="AB151" s="83"/>
    </row>
    <row r="152" spans="3:28" s="1" customFormat="1" ht="14.25">
      <c r="C152" s="2"/>
      <c r="P152" s="15"/>
      <c r="Q152" s="15"/>
      <c r="Y152" s="15"/>
      <c r="Z152" s="15"/>
      <c r="AB152" s="83"/>
    </row>
    <row r="153" spans="3:28" s="1" customFormat="1" ht="14.25">
      <c r="C153" s="2"/>
      <c r="P153" s="15"/>
      <c r="Q153" s="15"/>
      <c r="Y153" s="15"/>
      <c r="Z153" s="15"/>
      <c r="AB153" s="83"/>
    </row>
    <row r="154" spans="3:28" s="1" customFormat="1" ht="14.25">
      <c r="C154" s="2"/>
      <c r="P154" s="15"/>
      <c r="Q154" s="15"/>
      <c r="Y154" s="15"/>
      <c r="Z154" s="15"/>
      <c r="AB154" s="83"/>
    </row>
    <row r="155" spans="3:28" s="1" customFormat="1" ht="14.25">
      <c r="C155" s="2"/>
      <c r="P155" s="15"/>
      <c r="Q155" s="15"/>
      <c r="Y155" s="15"/>
      <c r="Z155" s="15"/>
      <c r="AB155" s="83"/>
    </row>
    <row r="156" spans="3:28" s="1" customFormat="1" ht="14.25">
      <c r="C156" s="2"/>
      <c r="P156" s="15"/>
      <c r="Q156" s="15"/>
      <c r="Y156" s="15"/>
      <c r="Z156" s="15"/>
      <c r="AB156" s="83"/>
    </row>
    <row r="157" spans="3:28" s="1" customFormat="1" ht="14.25">
      <c r="C157" s="2"/>
      <c r="P157" s="15"/>
      <c r="Q157" s="15"/>
      <c r="Y157" s="15"/>
      <c r="Z157" s="15"/>
      <c r="AB157" s="83"/>
    </row>
    <row r="158" spans="3:28" s="1" customFormat="1" ht="14.25">
      <c r="C158" s="2"/>
      <c r="P158" s="15"/>
      <c r="Q158" s="15"/>
      <c r="Y158" s="15"/>
      <c r="Z158" s="15"/>
      <c r="AB158" s="83"/>
    </row>
    <row r="159" spans="3:28" s="1" customFormat="1" ht="14.25">
      <c r="C159" s="2"/>
      <c r="P159" s="15"/>
      <c r="Q159" s="15"/>
      <c r="Y159" s="15"/>
      <c r="Z159" s="15"/>
      <c r="AB159" s="83"/>
    </row>
    <row r="160" spans="3:28" s="1" customFormat="1" ht="14.25">
      <c r="C160" s="2"/>
      <c r="P160" s="15"/>
      <c r="Q160" s="15"/>
      <c r="Y160" s="15"/>
      <c r="Z160" s="15"/>
      <c r="AB160" s="83"/>
    </row>
    <row r="161" spans="3:28" s="1" customFormat="1" ht="14.25">
      <c r="C161" s="2"/>
      <c r="P161" s="15"/>
      <c r="Q161" s="15"/>
      <c r="Y161" s="15"/>
      <c r="Z161" s="15"/>
      <c r="AB161" s="83"/>
    </row>
    <row r="162" spans="3:28" s="1" customFormat="1" ht="14.25">
      <c r="C162" s="2"/>
      <c r="P162" s="15"/>
      <c r="Q162" s="15"/>
      <c r="Y162" s="15"/>
      <c r="Z162" s="15"/>
      <c r="AB162" s="83"/>
    </row>
    <row r="163" spans="3:28" s="1" customFormat="1" ht="14.25">
      <c r="C163" s="2"/>
      <c r="P163" s="15"/>
      <c r="Q163" s="15"/>
      <c r="Y163" s="15"/>
      <c r="Z163" s="15"/>
      <c r="AB163" s="83"/>
    </row>
    <row r="164" spans="3:28" s="1" customFormat="1" ht="14.25">
      <c r="C164" s="2"/>
      <c r="P164" s="15"/>
      <c r="Q164" s="15"/>
      <c r="Y164" s="15"/>
      <c r="Z164" s="15"/>
      <c r="AB164" s="83"/>
    </row>
    <row r="165" spans="3:28" s="1" customFormat="1" ht="14.25">
      <c r="C165" s="2"/>
      <c r="P165" s="15"/>
      <c r="Q165" s="15"/>
      <c r="Y165" s="15"/>
      <c r="Z165" s="15"/>
      <c r="AB165" s="83"/>
    </row>
    <row r="166" spans="3:28" s="1" customFormat="1" ht="14.25">
      <c r="C166" s="2"/>
      <c r="P166" s="15"/>
      <c r="Q166" s="15"/>
      <c r="Y166" s="15"/>
      <c r="Z166" s="15"/>
      <c r="AB166" s="83"/>
    </row>
    <row r="167" spans="3:28" s="1" customFormat="1" ht="14.25">
      <c r="C167" s="2"/>
      <c r="P167" s="15"/>
      <c r="Q167" s="15"/>
      <c r="Y167" s="15"/>
      <c r="Z167" s="15"/>
      <c r="AB167" s="83"/>
    </row>
    <row r="168" spans="3:28" s="1" customFormat="1" ht="14.25">
      <c r="C168" s="2"/>
      <c r="P168" s="15"/>
      <c r="Q168" s="15"/>
      <c r="Y168" s="15"/>
      <c r="Z168" s="15"/>
      <c r="AB168" s="83"/>
    </row>
    <row r="169" spans="3:28" s="1" customFormat="1" ht="14.25">
      <c r="C169" s="2"/>
      <c r="P169" s="15"/>
      <c r="Q169" s="15"/>
      <c r="Y169" s="15"/>
      <c r="Z169" s="15"/>
      <c r="AB169" s="83"/>
    </row>
    <row r="170" spans="3:28" s="1" customFormat="1" ht="14.25">
      <c r="C170" s="2"/>
      <c r="P170" s="15"/>
      <c r="Q170" s="15"/>
      <c r="Y170" s="15"/>
      <c r="Z170" s="15"/>
      <c r="AB170" s="83"/>
    </row>
    <row r="171" spans="3:28" s="1" customFormat="1" ht="14.25">
      <c r="C171" s="2"/>
      <c r="P171" s="15"/>
      <c r="Q171" s="15"/>
      <c r="Y171" s="15"/>
      <c r="Z171" s="15"/>
      <c r="AB171" s="83"/>
    </row>
    <row r="172" spans="3:28" s="1" customFormat="1" ht="14.25">
      <c r="C172" s="2"/>
      <c r="P172" s="15"/>
      <c r="Q172" s="15"/>
      <c r="Y172" s="15"/>
      <c r="Z172" s="15"/>
      <c r="AB172" s="83"/>
    </row>
    <row r="173" spans="3:28" s="1" customFormat="1" ht="14.25">
      <c r="C173" s="2"/>
      <c r="P173" s="15"/>
      <c r="Q173" s="15"/>
      <c r="Y173" s="15"/>
      <c r="Z173" s="15"/>
      <c r="AB173" s="83"/>
    </row>
    <row r="174" spans="3:28" s="1" customFormat="1" ht="14.25">
      <c r="C174" s="2"/>
      <c r="P174" s="15"/>
      <c r="Q174" s="15"/>
      <c r="Y174" s="15"/>
      <c r="Z174" s="15"/>
      <c r="AB174" s="83"/>
    </row>
    <row r="175" spans="3:28" s="1" customFormat="1" ht="14.25">
      <c r="C175" s="2"/>
      <c r="P175" s="15"/>
      <c r="Q175" s="15"/>
      <c r="Y175" s="15"/>
      <c r="Z175" s="15"/>
      <c r="AB175" s="83"/>
    </row>
    <row r="176" spans="3:28" s="1" customFormat="1" ht="14.25">
      <c r="C176" s="2"/>
      <c r="P176" s="15"/>
      <c r="Q176" s="15"/>
      <c r="Y176" s="15"/>
      <c r="Z176" s="15"/>
      <c r="AB176" s="83"/>
    </row>
    <row r="177" spans="3:28" s="1" customFormat="1" ht="14.25">
      <c r="C177" s="2"/>
      <c r="P177" s="15"/>
      <c r="Q177" s="15"/>
      <c r="Y177" s="15"/>
      <c r="Z177" s="15"/>
      <c r="AB177" s="83"/>
    </row>
    <row r="178" spans="3:28" s="1" customFormat="1" ht="14.25">
      <c r="C178" s="2"/>
      <c r="P178" s="15"/>
      <c r="Q178" s="15"/>
      <c r="Y178" s="15"/>
      <c r="Z178" s="15"/>
      <c r="AB178" s="83"/>
    </row>
    <row r="179" spans="3:28" s="1" customFormat="1" ht="14.25">
      <c r="C179" s="2"/>
      <c r="P179" s="15"/>
      <c r="Q179" s="15"/>
      <c r="Y179" s="15"/>
      <c r="Z179" s="15"/>
      <c r="AB179" s="83"/>
    </row>
    <row r="180" spans="3:28" s="1" customFormat="1" ht="14.25">
      <c r="C180" s="2"/>
      <c r="P180" s="15"/>
      <c r="Q180" s="15"/>
      <c r="Y180" s="15"/>
      <c r="Z180" s="15"/>
      <c r="AB180" s="83"/>
    </row>
    <row r="181" spans="3:28" s="1" customFormat="1" ht="14.25">
      <c r="C181" s="2"/>
      <c r="P181" s="15"/>
      <c r="Q181" s="15"/>
      <c r="Y181" s="15"/>
      <c r="Z181" s="15"/>
      <c r="AB181" s="83"/>
    </row>
    <row r="182" spans="3:28" s="1" customFormat="1" ht="14.25">
      <c r="C182" s="2"/>
      <c r="P182" s="15"/>
      <c r="Q182" s="15"/>
      <c r="Y182" s="15"/>
      <c r="Z182" s="15"/>
      <c r="AB182" s="83"/>
    </row>
    <row r="183" spans="3:28" s="1" customFormat="1" ht="14.25">
      <c r="C183" s="2"/>
      <c r="P183" s="15"/>
      <c r="Q183" s="15"/>
      <c r="Y183" s="15"/>
      <c r="Z183" s="15"/>
      <c r="AB183" s="83"/>
    </row>
    <row r="184" spans="3:28" s="1" customFormat="1" ht="14.25">
      <c r="C184" s="2"/>
      <c r="P184" s="15"/>
      <c r="Q184" s="15"/>
      <c r="Y184" s="15"/>
      <c r="Z184" s="15"/>
      <c r="AB184" s="83"/>
    </row>
    <row r="185" spans="3:28" s="1" customFormat="1" ht="14.25">
      <c r="C185" s="2"/>
      <c r="P185" s="15"/>
      <c r="Q185" s="15"/>
      <c r="Y185" s="15"/>
      <c r="Z185" s="15"/>
      <c r="AB185" s="83"/>
    </row>
    <row r="186" spans="3:28" s="1" customFormat="1" ht="14.25">
      <c r="C186" s="2"/>
      <c r="P186" s="15"/>
      <c r="Q186" s="15"/>
      <c r="Y186" s="15"/>
      <c r="Z186" s="15"/>
      <c r="AB186" s="83"/>
    </row>
    <row r="187" spans="3:28" s="1" customFormat="1" ht="14.25">
      <c r="C187" s="2"/>
      <c r="P187" s="15"/>
      <c r="Q187" s="15"/>
      <c r="Y187" s="15"/>
      <c r="Z187" s="15"/>
      <c r="AB187" s="83"/>
    </row>
    <row r="188" spans="3:28" s="1" customFormat="1" ht="14.25">
      <c r="C188" s="2"/>
      <c r="P188" s="15"/>
      <c r="Q188" s="15"/>
      <c r="Y188" s="15"/>
      <c r="Z188" s="15"/>
      <c r="AB188" s="83"/>
    </row>
    <row r="189" spans="3:28" s="1" customFormat="1" ht="14.25">
      <c r="C189" s="2"/>
      <c r="P189" s="15"/>
      <c r="Q189" s="15"/>
      <c r="Y189" s="15"/>
      <c r="Z189" s="15"/>
      <c r="AB189" s="83"/>
    </row>
    <row r="190" spans="3:28" s="1" customFormat="1" ht="14.25">
      <c r="C190" s="2"/>
      <c r="P190" s="15"/>
      <c r="Q190" s="15"/>
      <c r="Y190" s="15"/>
      <c r="Z190" s="15"/>
      <c r="AB190" s="83"/>
    </row>
    <row r="191" spans="3:28" s="1" customFormat="1" ht="14.25">
      <c r="C191" s="2"/>
      <c r="P191" s="15"/>
      <c r="Q191" s="15"/>
      <c r="Y191" s="15"/>
      <c r="Z191" s="15"/>
      <c r="AB191" s="83"/>
    </row>
    <row r="192" spans="3:28" s="1" customFormat="1" ht="14.25">
      <c r="C192" s="2"/>
      <c r="P192" s="15"/>
      <c r="Q192" s="15"/>
      <c r="Y192" s="15"/>
      <c r="Z192" s="15"/>
      <c r="AB192" s="83"/>
    </row>
    <row r="193" spans="3:28" s="1" customFormat="1" ht="14.25">
      <c r="C193" s="2"/>
      <c r="P193" s="15"/>
      <c r="Q193" s="15"/>
      <c r="Y193" s="15"/>
      <c r="Z193" s="15"/>
      <c r="AB193" s="83"/>
    </row>
    <row r="194" spans="3:28" s="1" customFormat="1" ht="14.25">
      <c r="C194" s="2"/>
      <c r="P194" s="15"/>
      <c r="Q194" s="15"/>
      <c r="Y194" s="15"/>
      <c r="Z194" s="15"/>
      <c r="AB194" s="83"/>
    </row>
    <row r="195" spans="3:28" s="1" customFormat="1" ht="14.25">
      <c r="C195" s="2"/>
      <c r="P195" s="15"/>
      <c r="Q195" s="15"/>
      <c r="Y195" s="15"/>
      <c r="Z195" s="15"/>
      <c r="AB195" s="83"/>
    </row>
    <row r="196" spans="3:28" s="1" customFormat="1" ht="14.25">
      <c r="C196" s="2"/>
      <c r="P196" s="15"/>
      <c r="Q196" s="15"/>
      <c r="Y196" s="15"/>
      <c r="Z196" s="15"/>
      <c r="AB196" s="83"/>
    </row>
    <row r="197" spans="3:28" s="1" customFormat="1" ht="14.25">
      <c r="C197" s="2"/>
      <c r="P197" s="15"/>
      <c r="Q197" s="15"/>
      <c r="Y197" s="15"/>
      <c r="Z197" s="15"/>
      <c r="AB197" s="83"/>
    </row>
    <row r="198" spans="3:28" s="1" customFormat="1" ht="14.25">
      <c r="C198" s="2"/>
      <c r="P198" s="15"/>
      <c r="Q198" s="15"/>
      <c r="Y198" s="15"/>
      <c r="Z198" s="15"/>
      <c r="AB198" s="83"/>
    </row>
    <row r="199" spans="3:28" s="1" customFormat="1" ht="14.25">
      <c r="C199" s="2"/>
      <c r="P199" s="15"/>
      <c r="Q199" s="15"/>
      <c r="Y199" s="15"/>
      <c r="Z199" s="15"/>
      <c r="AB199" s="83"/>
    </row>
    <row r="200" spans="3:28" s="1" customFormat="1" ht="14.25">
      <c r="C200" s="2"/>
      <c r="P200" s="15"/>
      <c r="Q200" s="15"/>
      <c r="Y200" s="15"/>
      <c r="Z200" s="15"/>
      <c r="AB200" s="83"/>
    </row>
    <row r="201" spans="3:28" s="1" customFormat="1" ht="14.25">
      <c r="C201" s="2"/>
      <c r="P201" s="15"/>
      <c r="Q201" s="15"/>
      <c r="Y201" s="15"/>
      <c r="Z201" s="15"/>
      <c r="AB201" s="83"/>
    </row>
    <row r="202" spans="3:28" s="1" customFormat="1" ht="14.25">
      <c r="C202" s="2"/>
      <c r="P202" s="15"/>
      <c r="Q202" s="15"/>
      <c r="Y202" s="15"/>
      <c r="Z202" s="15"/>
      <c r="AB202" s="83"/>
    </row>
    <row r="203" spans="3:28" s="1" customFormat="1" ht="14.25">
      <c r="C203" s="2"/>
      <c r="P203" s="15"/>
      <c r="Q203" s="15"/>
      <c r="Y203" s="15"/>
      <c r="Z203" s="15"/>
      <c r="AB203" s="83"/>
    </row>
    <row r="204" spans="3:28" s="1" customFormat="1" ht="14.25">
      <c r="C204" s="2"/>
      <c r="P204" s="15"/>
      <c r="Q204" s="15"/>
      <c r="Y204" s="15"/>
      <c r="Z204" s="15"/>
      <c r="AB204" s="83"/>
    </row>
    <row r="205" spans="3:28" s="1" customFormat="1" ht="14.25">
      <c r="C205" s="2"/>
      <c r="P205" s="15"/>
      <c r="Q205" s="15"/>
      <c r="Y205" s="15"/>
      <c r="Z205" s="15"/>
      <c r="AB205" s="83"/>
    </row>
    <row r="206" spans="3:28" s="1" customFormat="1" ht="14.25">
      <c r="C206" s="2"/>
      <c r="P206" s="15"/>
      <c r="Q206" s="15"/>
      <c r="Y206" s="15"/>
      <c r="Z206" s="15"/>
      <c r="AB206" s="83"/>
    </row>
    <row r="207" spans="3:28" s="1" customFormat="1" ht="14.25">
      <c r="C207" s="2"/>
      <c r="P207" s="15"/>
      <c r="Q207" s="15"/>
      <c r="Y207" s="15"/>
      <c r="Z207" s="15"/>
      <c r="AB207" s="83"/>
    </row>
    <row r="208" spans="3:28" s="1" customFormat="1" ht="14.25">
      <c r="C208" s="2"/>
      <c r="P208" s="15"/>
      <c r="Q208" s="15"/>
      <c r="Y208" s="15"/>
      <c r="Z208" s="15"/>
      <c r="AB208" s="83"/>
    </row>
    <row r="209" spans="3:28" s="1" customFormat="1" ht="14.25">
      <c r="C209" s="2"/>
      <c r="P209" s="15"/>
      <c r="Q209" s="15"/>
      <c r="Y209" s="15"/>
      <c r="Z209" s="15"/>
      <c r="AB209" s="83"/>
    </row>
    <row r="210" spans="3:28" s="1" customFormat="1" ht="14.25">
      <c r="C210" s="2"/>
      <c r="P210" s="15"/>
      <c r="Q210" s="15"/>
      <c r="Y210" s="15"/>
      <c r="Z210" s="15"/>
      <c r="AB210" s="83"/>
    </row>
    <row r="211" spans="3:28" s="1" customFormat="1" ht="14.25">
      <c r="C211" s="2"/>
      <c r="P211" s="15"/>
      <c r="Q211" s="15"/>
      <c r="Y211" s="15"/>
      <c r="Z211" s="15"/>
      <c r="AB211" s="83"/>
    </row>
    <row r="212" spans="3:28" s="1" customFormat="1" ht="14.25">
      <c r="C212" s="2"/>
      <c r="P212" s="15"/>
      <c r="Q212" s="15"/>
      <c r="Y212" s="15"/>
      <c r="Z212" s="15"/>
      <c r="AB212" s="83"/>
    </row>
    <row r="213" spans="3:28" s="1" customFormat="1" ht="14.25">
      <c r="C213" s="2"/>
      <c r="P213" s="15"/>
      <c r="Q213" s="15"/>
      <c r="Y213" s="15"/>
      <c r="Z213" s="15"/>
      <c r="AB213" s="83"/>
    </row>
    <row r="214" spans="3:28" s="1" customFormat="1" ht="14.25">
      <c r="C214" s="2"/>
      <c r="P214" s="15"/>
      <c r="Q214" s="15"/>
      <c r="Y214" s="15"/>
      <c r="Z214" s="15"/>
      <c r="AB214" s="83"/>
    </row>
    <row r="215" spans="3:28" s="1" customFormat="1" ht="14.25">
      <c r="C215" s="2"/>
      <c r="P215" s="15"/>
      <c r="Q215" s="15"/>
      <c r="Y215" s="15"/>
      <c r="Z215" s="15"/>
      <c r="AB215" s="83"/>
    </row>
    <row r="216" spans="3:28" s="1" customFormat="1" ht="14.25">
      <c r="C216" s="2"/>
      <c r="P216" s="15"/>
      <c r="Q216" s="15"/>
      <c r="Y216" s="15"/>
      <c r="Z216" s="15"/>
      <c r="AB216" s="83"/>
    </row>
    <row r="217" spans="3:28" s="1" customFormat="1" ht="14.25">
      <c r="C217" s="2"/>
      <c r="P217" s="15"/>
      <c r="Q217" s="15"/>
      <c r="Y217" s="15"/>
      <c r="Z217" s="15"/>
      <c r="AB217" s="83"/>
    </row>
    <row r="218" spans="3:28" s="1" customFormat="1" ht="14.25">
      <c r="C218" s="2"/>
      <c r="P218" s="15"/>
      <c r="Q218" s="15"/>
      <c r="Y218" s="15"/>
      <c r="Z218" s="15"/>
      <c r="AB218" s="83"/>
    </row>
    <row r="219" spans="3:28" s="1" customFormat="1" ht="14.25">
      <c r="C219" s="2"/>
      <c r="P219" s="15"/>
      <c r="Q219" s="15"/>
      <c r="Y219" s="15"/>
      <c r="Z219" s="15"/>
      <c r="AB219" s="83"/>
    </row>
    <row r="220" spans="3:28" s="1" customFormat="1" ht="14.25">
      <c r="C220" s="2"/>
      <c r="P220" s="15"/>
      <c r="Q220" s="15"/>
      <c r="Y220" s="15"/>
      <c r="Z220" s="15"/>
      <c r="AB220" s="83"/>
    </row>
    <row r="221" spans="3:28" s="1" customFormat="1" ht="14.25">
      <c r="C221" s="2"/>
      <c r="P221" s="15"/>
      <c r="Q221" s="15"/>
      <c r="Y221" s="15"/>
      <c r="Z221" s="15"/>
      <c r="AB221" s="83"/>
    </row>
    <row r="222" spans="3:28" s="1" customFormat="1" ht="14.25">
      <c r="C222" s="2"/>
      <c r="P222" s="15"/>
      <c r="Q222" s="15"/>
      <c r="Y222" s="15"/>
      <c r="Z222" s="15"/>
      <c r="AB222" s="83"/>
    </row>
    <row r="223" spans="3:28" s="1" customFormat="1" ht="14.25">
      <c r="C223" s="2"/>
      <c r="P223" s="15"/>
      <c r="Q223" s="15"/>
      <c r="Y223" s="15"/>
      <c r="Z223" s="15"/>
      <c r="AB223" s="83"/>
    </row>
    <row r="224" spans="3:28" s="1" customFormat="1" ht="14.25">
      <c r="C224" s="2"/>
      <c r="P224" s="15"/>
      <c r="Q224" s="15"/>
      <c r="Y224" s="15"/>
      <c r="Z224" s="15"/>
      <c r="AB224" s="83"/>
    </row>
    <row r="225" spans="3:28" s="1" customFormat="1" ht="14.25">
      <c r="C225" s="2"/>
      <c r="P225" s="15"/>
      <c r="Q225" s="15"/>
      <c r="Y225" s="15"/>
      <c r="Z225" s="15"/>
      <c r="AB225" s="83"/>
    </row>
    <row r="226" spans="3:28" s="1" customFormat="1" ht="14.25">
      <c r="C226" s="2"/>
      <c r="P226" s="15"/>
      <c r="Q226" s="15"/>
      <c r="Y226" s="15"/>
      <c r="Z226" s="15"/>
      <c r="AB226" s="83"/>
    </row>
    <row r="227" spans="3:28" s="1" customFormat="1" ht="14.25">
      <c r="C227" s="2"/>
      <c r="P227" s="15"/>
      <c r="Q227" s="15"/>
      <c r="Y227" s="15"/>
      <c r="Z227" s="15"/>
      <c r="AB227" s="83"/>
    </row>
    <row r="228" spans="3:28" s="1" customFormat="1" ht="14.25">
      <c r="C228" s="2"/>
      <c r="P228" s="15"/>
      <c r="Q228" s="15"/>
      <c r="Y228" s="15"/>
      <c r="Z228" s="15"/>
      <c r="AB228" s="83"/>
    </row>
    <row r="229" spans="3:28" s="1" customFormat="1" ht="14.25">
      <c r="C229" s="2"/>
      <c r="P229" s="15"/>
      <c r="Q229" s="15"/>
      <c r="Y229" s="15"/>
      <c r="Z229" s="15"/>
      <c r="AB229" s="83"/>
    </row>
    <row r="230" spans="3:28" s="1" customFormat="1" ht="14.25">
      <c r="C230" s="2"/>
      <c r="P230" s="15"/>
      <c r="Q230" s="15"/>
      <c r="Y230" s="15"/>
      <c r="Z230" s="15"/>
      <c r="AB230" s="83"/>
    </row>
    <row r="231" spans="3:28" s="1" customFormat="1" ht="14.25">
      <c r="C231" s="2"/>
      <c r="P231" s="15"/>
      <c r="Q231" s="15"/>
      <c r="Y231" s="15"/>
      <c r="Z231" s="15"/>
      <c r="AB231" s="83"/>
    </row>
    <row r="232" spans="3:28" s="1" customFormat="1" ht="14.25">
      <c r="C232" s="2"/>
      <c r="P232" s="15"/>
      <c r="Q232" s="15"/>
      <c r="Y232" s="15"/>
      <c r="Z232" s="15"/>
      <c r="AB232" s="83"/>
    </row>
    <row r="233" spans="3:28" s="1" customFormat="1" ht="14.25">
      <c r="C233" s="2"/>
      <c r="P233" s="15"/>
      <c r="Q233" s="15"/>
      <c r="Y233" s="15"/>
      <c r="Z233" s="15"/>
      <c r="AB233" s="83"/>
    </row>
    <row r="234" spans="3:28" s="1" customFormat="1" ht="14.25">
      <c r="C234" s="2"/>
      <c r="P234" s="15"/>
      <c r="Q234" s="15"/>
      <c r="Y234" s="15"/>
      <c r="Z234" s="15"/>
      <c r="AB234" s="83"/>
    </row>
    <row r="235" spans="3:28" s="1" customFormat="1" ht="14.25">
      <c r="C235" s="2"/>
      <c r="P235" s="15"/>
      <c r="Q235" s="15"/>
      <c r="Y235" s="15"/>
      <c r="Z235" s="15"/>
      <c r="AB235" s="83"/>
    </row>
    <row r="236" spans="3:28" s="1" customFormat="1" ht="14.25">
      <c r="C236" s="2"/>
      <c r="P236" s="15"/>
      <c r="Q236" s="15"/>
      <c r="Y236" s="15"/>
      <c r="Z236" s="15"/>
      <c r="AB236" s="83"/>
    </row>
    <row r="237" spans="3:28" s="1" customFormat="1" ht="14.25">
      <c r="C237" s="2"/>
      <c r="P237" s="15"/>
      <c r="Q237" s="15"/>
      <c r="Y237" s="15"/>
      <c r="Z237" s="15"/>
      <c r="AB237" s="83"/>
    </row>
    <row r="238" spans="3:28" s="1" customFormat="1" ht="14.25">
      <c r="C238" s="2"/>
      <c r="P238" s="15"/>
      <c r="Q238" s="15"/>
      <c r="Y238" s="15"/>
      <c r="Z238" s="15"/>
      <c r="AB238" s="83"/>
    </row>
    <row r="239" spans="3:28" s="1" customFormat="1" ht="14.25">
      <c r="C239" s="2"/>
      <c r="P239" s="15"/>
      <c r="Q239" s="15"/>
      <c r="Y239" s="15"/>
      <c r="Z239" s="15"/>
      <c r="AB239" s="83"/>
    </row>
    <row r="240" spans="3:28" s="1" customFormat="1" ht="14.25">
      <c r="C240" s="2"/>
      <c r="P240" s="15"/>
      <c r="Q240" s="15"/>
      <c r="Y240" s="15"/>
      <c r="Z240" s="15"/>
      <c r="AB240" s="83"/>
    </row>
    <row r="241" spans="3:28" s="1" customFormat="1" ht="14.25">
      <c r="C241" s="2"/>
      <c r="P241" s="15"/>
      <c r="Q241" s="15"/>
      <c r="Y241" s="15"/>
      <c r="Z241" s="15"/>
      <c r="AB241" s="83"/>
    </row>
    <row r="242" spans="3:28" s="1" customFormat="1" ht="14.25">
      <c r="C242" s="2"/>
      <c r="P242" s="15"/>
      <c r="Q242" s="15"/>
      <c r="Y242" s="15"/>
      <c r="Z242" s="15"/>
      <c r="AB242" s="83"/>
    </row>
    <row r="243" spans="3:28" s="1" customFormat="1" ht="14.25">
      <c r="C243" s="2"/>
      <c r="P243" s="15"/>
      <c r="Q243" s="15"/>
      <c r="Y243" s="15"/>
      <c r="Z243" s="15"/>
      <c r="AB243" s="83"/>
    </row>
    <row r="244" spans="3:28" s="1" customFormat="1" ht="14.25">
      <c r="C244" s="2"/>
      <c r="P244" s="15"/>
      <c r="Q244" s="15"/>
      <c r="Y244" s="15"/>
      <c r="Z244" s="15"/>
      <c r="AB244" s="83"/>
    </row>
    <row r="245" spans="3:28" s="1" customFormat="1" ht="14.25">
      <c r="C245" s="2"/>
      <c r="P245" s="15"/>
      <c r="Q245" s="15"/>
      <c r="Y245" s="15"/>
      <c r="Z245" s="15"/>
      <c r="AB245" s="83"/>
    </row>
    <row r="246" spans="3:28" s="1" customFormat="1" ht="14.25">
      <c r="C246" s="2"/>
      <c r="P246" s="15"/>
      <c r="Q246" s="15"/>
      <c r="Y246" s="15"/>
      <c r="Z246" s="15"/>
      <c r="AB246" s="83"/>
    </row>
    <row r="247" spans="3:28" s="1" customFormat="1" ht="14.25">
      <c r="C247" s="2"/>
      <c r="P247" s="15"/>
      <c r="Q247" s="15"/>
      <c r="Y247" s="15"/>
      <c r="Z247" s="15"/>
      <c r="AB247" s="83"/>
    </row>
    <row r="248" spans="3:28" s="1" customFormat="1" ht="14.25">
      <c r="C248" s="2"/>
      <c r="P248" s="15"/>
      <c r="Q248" s="15"/>
      <c r="Y248" s="15"/>
      <c r="Z248" s="15"/>
      <c r="AB248" s="83"/>
    </row>
    <row r="249" spans="3:28" s="1" customFormat="1" ht="14.25">
      <c r="C249" s="2"/>
      <c r="P249" s="15"/>
      <c r="Q249" s="15"/>
      <c r="Y249" s="15"/>
      <c r="Z249" s="15"/>
      <c r="AB249" s="83"/>
    </row>
    <row r="250" spans="3:28" s="1" customFormat="1" ht="14.25">
      <c r="C250" s="2"/>
      <c r="P250" s="15"/>
      <c r="Q250" s="15"/>
      <c r="Y250" s="15"/>
      <c r="Z250" s="15"/>
      <c r="AB250" s="83"/>
    </row>
    <row r="251" spans="3:28" s="1" customFormat="1" ht="14.25">
      <c r="C251" s="2"/>
      <c r="P251" s="15"/>
      <c r="Q251" s="15"/>
      <c r="Y251" s="15"/>
      <c r="Z251" s="15"/>
      <c r="AB251" s="83"/>
    </row>
    <row r="252" spans="3:28" s="1" customFormat="1" ht="14.25">
      <c r="C252" s="2"/>
      <c r="P252" s="15"/>
      <c r="Q252" s="15"/>
      <c r="Y252" s="15"/>
      <c r="Z252" s="15"/>
      <c r="AB252" s="83"/>
    </row>
    <row r="253" spans="3:28" s="1" customFormat="1" ht="14.25">
      <c r="C253" s="2"/>
      <c r="P253" s="15"/>
      <c r="Q253" s="15"/>
      <c r="Y253" s="15"/>
      <c r="Z253" s="15"/>
      <c r="AB253" s="83"/>
    </row>
    <row r="254" spans="3:28" s="1" customFormat="1" ht="14.25">
      <c r="C254" s="2"/>
      <c r="P254" s="15"/>
      <c r="Q254" s="15"/>
      <c r="Y254" s="15"/>
      <c r="Z254" s="15"/>
      <c r="AB254" s="83"/>
    </row>
    <row r="255" spans="3:28" s="1" customFormat="1" ht="14.25">
      <c r="C255" s="2"/>
      <c r="P255" s="15"/>
      <c r="Q255" s="15"/>
      <c r="Y255" s="15"/>
      <c r="Z255" s="15"/>
      <c r="AB255" s="83"/>
    </row>
    <row r="256" spans="3:28" s="1" customFormat="1" ht="14.25">
      <c r="C256" s="2"/>
      <c r="P256" s="15"/>
      <c r="Q256" s="15"/>
      <c r="Y256" s="15"/>
      <c r="Z256" s="15"/>
      <c r="AB256" s="83"/>
    </row>
    <row r="257" spans="3:28" s="1" customFormat="1" ht="14.25">
      <c r="C257" s="2"/>
      <c r="P257" s="15"/>
      <c r="Q257" s="15"/>
      <c r="Y257" s="15"/>
      <c r="Z257" s="15"/>
      <c r="AB257" s="83"/>
    </row>
    <row r="258" spans="3:28" s="1" customFormat="1" ht="14.25">
      <c r="C258" s="2"/>
      <c r="P258" s="15"/>
      <c r="Q258" s="15"/>
      <c r="Y258" s="15"/>
      <c r="Z258" s="15"/>
      <c r="AB258" s="83"/>
    </row>
    <row r="259" spans="3:28" s="1" customFormat="1" ht="14.25">
      <c r="C259" s="2"/>
      <c r="P259" s="15"/>
      <c r="Q259" s="15"/>
      <c r="Y259" s="15"/>
      <c r="Z259" s="15"/>
      <c r="AB259" s="83"/>
    </row>
    <row r="260" spans="3:28" s="1" customFormat="1" ht="14.25">
      <c r="C260" s="2"/>
      <c r="P260" s="15"/>
      <c r="Q260" s="15"/>
      <c r="Y260" s="15"/>
      <c r="Z260" s="15"/>
      <c r="AB260" s="83"/>
    </row>
    <row r="261" spans="3:28" s="1" customFormat="1" ht="14.25">
      <c r="C261" s="2"/>
      <c r="P261" s="15"/>
      <c r="Q261" s="15"/>
      <c r="Y261" s="15"/>
      <c r="Z261" s="15"/>
      <c r="AB261" s="83"/>
    </row>
    <row r="262" spans="3:28" s="1" customFormat="1" ht="14.25">
      <c r="C262" s="2"/>
      <c r="P262" s="15"/>
      <c r="Q262" s="15"/>
      <c r="Y262" s="15"/>
      <c r="Z262" s="15"/>
      <c r="AB262" s="83"/>
    </row>
    <row r="263" spans="3:28" s="1" customFormat="1" ht="14.25">
      <c r="C263" s="2"/>
      <c r="P263" s="15"/>
      <c r="Q263" s="15"/>
      <c r="Y263" s="15"/>
      <c r="Z263" s="15"/>
      <c r="AB263" s="83"/>
    </row>
    <row r="264" spans="3:28" s="1" customFormat="1" ht="14.25">
      <c r="C264" s="2"/>
      <c r="P264" s="15"/>
      <c r="Q264" s="15"/>
      <c r="Y264" s="15"/>
      <c r="Z264" s="15"/>
      <c r="AB264" s="83"/>
    </row>
    <row r="265" spans="3:28" s="1" customFormat="1" ht="14.25">
      <c r="C265" s="2"/>
      <c r="P265" s="15"/>
      <c r="Q265" s="15"/>
      <c r="Y265" s="15"/>
      <c r="Z265" s="15"/>
      <c r="AB265" s="83"/>
    </row>
    <row r="266" spans="3:28" s="1" customFormat="1" ht="14.25">
      <c r="C266" s="2"/>
      <c r="P266" s="15"/>
      <c r="Q266" s="15"/>
      <c r="Y266" s="15"/>
      <c r="Z266" s="15"/>
      <c r="AB266" s="83"/>
    </row>
    <row r="267" spans="3:28" s="1" customFormat="1" ht="14.25">
      <c r="C267" s="2"/>
      <c r="P267" s="15"/>
      <c r="Q267" s="15"/>
      <c r="Y267" s="15"/>
      <c r="Z267" s="15"/>
      <c r="AB267" s="83"/>
    </row>
    <row r="268" spans="3:28" s="1" customFormat="1" ht="14.25">
      <c r="C268" s="2"/>
      <c r="P268" s="15"/>
      <c r="Q268" s="15"/>
      <c r="Y268" s="15"/>
      <c r="Z268" s="15"/>
      <c r="AB268" s="83"/>
    </row>
    <row r="269" spans="3:28" s="1" customFormat="1" ht="14.25">
      <c r="C269" s="2"/>
      <c r="P269" s="15"/>
      <c r="Q269" s="15"/>
      <c r="Y269" s="15"/>
      <c r="Z269" s="15"/>
      <c r="AB269" s="83"/>
    </row>
    <row r="270" spans="3:28" s="1" customFormat="1" ht="14.25">
      <c r="C270" s="2"/>
      <c r="P270" s="15"/>
      <c r="Q270" s="15"/>
      <c r="Y270" s="15"/>
      <c r="Z270" s="15"/>
      <c r="AB270" s="83"/>
    </row>
    <row r="271" spans="3:28" s="1" customFormat="1" ht="14.25">
      <c r="C271" s="2"/>
      <c r="P271" s="15"/>
      <c r="Q271" s="15"/>
      <c r="Y271" s="15"/>
      <c r="Z271" s="15"/>
      <c r="AB271" s="83"/>
    </row>
    <row r="272" spans="3:28" s="1" customFormat="1" ht="14.25">
      <c r="C272" s="2"/>
      <c r="P272" s="15"/>
      <c r="Q272" s="15"/>
      <c r="Y272" s="15"/>
      <c r="Z272" s="15"/>
      <c r="AB272" s="83"/>
    </row>
    <row r="273" spans="3:28" s="1" customFormat="1" ht="14.25">
      <c r="C273" s="2"/>
      <c r="P273" s="15"/>
      <c r="Q273" s="15"/>
      <c r="Y273" s="15"/>
      <c r="Z273" s="15"/>
      <c r="AB273" s="83"/>
    </row>
    <row r="274" spans="3:28" s="1" customFormat="1" ht="14.25">
      <c r="C274" s="2"/>
      <c r="P274" s="15"/>
      <c r="Q274" s="15"/>
      <c r="Y274" s="15"/>
      <c r="Z274" s="15"/>
      <c r="AB274" s="83"/>
    </row>
    <row r="275" spans="3:28" s="1" customFormat="1" ht="14.25">
      <c r="C275" s="2"/>
      <c r="P275" s="15"/>
      <c r="Q275" s="15"/>
      <c r="Y275" s="15"/>
      <c r="Z275" s="15"/>
      <c r="AB275" s="83"/>
    </row>
    <row r="276" spans="3:28" s="1" customFormat="1" ht="14.25">
      <c r="C276" s="2"/>
      <c r="P276" s="15"/>
      <c r="Q276" s="15"/>
      <c r="Y276" s="15"/>
      <c r="Z276" s="15"/>
      <c r="AB276" s="83"/>
    </row>
    <row r="277" spans="3:28" s="1" customFormat="1" ht="14.25">
      <c r="C277" s="2"/>
      <c r="P277" s="15"/>
      <c r="Q277" s="15"/>
      <c r="Y277" s="15"/>
      <c r="Z277" s="15"/>
      <c r="AB277" s="83"/>
    </row>
    <row r="278" spans="3:28" s="1" customFormat="1" ht="14.25">
      <c r="C278" s="2"/>
      <c r="P278" s="15"/>
      <c r="Q278" s="15"/>
      <c r="Y278" s="15"/>
      <c r="Z278" s="15"/>
      <c r="AB278" s="83"/>
    </row>
    <row r="279" spans="3:28" s="1" customFormat="1" ht="14.25">
      <c r="C279" s="2"/>
      <c r="P279" s="15"/>
      <c r="Q279" s="15"/>
      <c r="Y279" s="15"/>
      <c r="Z279" s="15"/>
      <c r="AB279" s="83"/>
    </row>
    <row r="280" spans="3:28" s="1" customFormat="1" ht="14.25">
      <c r="C280" s="2"/>
      <c r="P280" s="15"/>
      <c r="Q280" s="15"/>
      <c r="Y280" s="15"/>
      <c r="Z280" s="15"/>
      <c r="AB280" s="83"/>
    </row>
    <row r="281" spans="3:28" s="1" customFormat="1" ht="14.25">
      <c r="C281" s="2"/>
      <c r="P281" s="15"/>
      <c r="Q281" s="15"/>
      <c r="Y281" s="15"/>
      <c r="Z281" s="15"/>
      <c r="AB281" s="83"/>
    </row>
    <row r="282" spans="3:28" s="1" customFormat="1" ht="14.25">
      <c r="C282" s="2"/>
      <c r="P282" s="15"/>
      <c r="Q282" s="15"/>
      <c r="Y282" s="15"/>
      <c r="Z282" s="15"/>
      <c r="AB282" s="83"/>
    </row>
    <row r="283" spans="3:28" s="1" customFormat="1" ht="14.25">
      <c r="C283" s="2"/>
      <c r="P283" s="15"/>
      <c r="Q283" s="15"/>
      <c r="Y283" s="15"/>
      <c r="Z283" s="15"/>
      <c r="AB283" s="83"/>
    </row>
    <row r="284" spans="3:28" s="1" customFormat="1" ht="14.25">
      <c r="C284" s="2"/>
      <c r="P284" s="15"/>
      <c r="Q284" s="15"/>
      <c r="Y284" s="15"/>
      <c r="Z284" s="15"/>
      <c r="AB284" s="83"/>
    </row>
    <row r="285" spans="3:28" s="1" customFormat="1" ht="14.25">
      <c r="C285" s="2"/>
      <c r="P285" s="15"/>
      <c r="Q285" s="15"/>
      <c r="Y285" s="15"/>
      <c r="Z285" s="15"/>
      <c r="AB285" s="83"/>
    </row>
    <row r="286" spans="3:28" s="1" customFormat="1" ht="14.25">
      <c r="C286" s="2"/>
      <c r="P286" s="15"/>
      <c r="Q286" s="15"/>
      <c r="Y286" s="15"/>
      <c r="Z286" s="15"/>
      <c r="AB286" s="83"/>
    </row>
    <row r="287" spans="3:28" s="1" customFormat="1" ht="14.25">
      <c r="C287" s="2"/>
      <c r="P287" s="15"/>
      <c r="Q287" s="15"/>
      <c r="Y287" s="15"/>
      <c r="Z287" s="15"/>
      <c r="AB287" s="83"/>
    </row>
    <row r="288" spans="3:28" s="1" customFormat="1" ht="14.25">
      <c r="C288" s="2"/>
      <c r="P288" s="15"/>
      <c r="Q288" s="15"/>
      <c r="Y288" s="15"/>
      <c r="Z288" s="15"/>
      <c r="AB288" s="83"/>
    </row>
    <row r="289" spans="3:28" s="1" customFormat="1" ht="14.25">
      <c r="C289" s="2"/>
      <c r="P289" s="15"/>
      <c r="Q289" s="15"/>
      <c r="Y289" s="15"/>
      <c r="Z289" s="15"/>
      <c r="AB289" s="83"/>
    </row>
    <row r="290" spans="3:28" s="1" customFormat="1" ht="14.25">
      <c r="C290" s="2"/>
      <c r="P290" s="15"/>
      <c r="Q290" s="15"/>
      <c r="Y290" s="15"/>
      <c r="Z290" s="15"/>
      <c r="AB290" s="83"/>
    </row>
    <row r="291" spans="3:28" s="1" customFormat="1" ht="14.25">
      <c r="C291" s="2"/>
      <c r="P291" s="15"/>
      <c r="Q291" s="15"/>
      <c r="Y291" s="15"/>
      <c r="Z291" s="15"/>
      <c r="AB291" s="83"/>
    </row>
    <row r="292" spans="3:28" s="1" customFormat="1" ht="14.25">
      <c r="C292" s="2"/>
      <c r="P292" s="15"/>
      <c r="Q292" s="15"/>
      <c r="Y292" s="15"/>
      <c r="Z292" s="15"/>
      <c r="AB292" s="83"/>
    </row>
    <row r="293" spans="3:28" s="1" customFormat="1" ht="14.25">
      <c r="C293" s="2"/>
      <c r="P293" s="15"/>
      <c r="Q293" s="15"/>
      <c r="Y293" s="15"/>
      <c r="Z293" s="15"/>
      <c r="AB293" s="83"/>
    </row>
    <row r="294" spans="3:28" s="1" customFormat="1" ht="14.25">
      <c r="C294" s="2"/>
      <c r="P294" s="15"/>
      <c r="Q294" s="15"/>
      <c r="Y294" s="15"/>
      <c r="Z294" s="15"/>
      <c r="AB294" s="83"/>
    </row>
    <row r="295" spans="3:28" s="1" customFormat="1" ht="14.25">
      <c r="C295" s="2"/>
      <c r="P295" s="15"/>
      <c r="Q295" s="15"/>
      <c r="Y295" s="15"/>
      <c r="Z295" s="15"/>
      <c r="AB295" s="83"/>
    </row>
    <row r="296" spans="3:28" s="1" customFormat="1" ht="14.25">
      <c r="C296" s="2"/>
      <c r="P296" s="15"/>
      <c r="Q296" s="15"/>
      <c r="Y296" s="15"/>
      <c r="Z296" s="15"/>
      <c r="AB296" s="83"/>
    </row>
    <row r="297" spans="3:28" s="1" customFormat="1" ht="14.25">
      <c r="C297" s="2"/>
      <c r="P297" s="15"/>
      <c r="Q297" s="15"/>
      <c r="Y297" s="15"/>
      <c r="Z297" s="15"/>
      <c r="AB297" s="83"/>
    </row>
    <row r="298" spans="3:28" s="1" customFormat="1" ht="14.25">
      <c r="C298" s="2"/>
      <c r="P298" s="15"/>
      <c r="Q298" s="15"/>
      <c r="Y298" s="15"/>
      <c r="Z298" s="15"/>
      <c r="AB298" s="83"/>
    </row>
    <row r="299" spans="3:28" s="1" customFormat="1" ht="14.25">
      <c r="C299" s="2"/>
      <c r="P299" s="15"/>
      <c r="Q299" s="15"/>
      <c r="Y299" s="15"/>
      <c r="Z299" s="15"/>
      <c r="AB299" s="83"/>
    </row>
    <row r="300" spans="3:28" s="1" customFormat="1" ht="14.25">
      <c r="C300" s="2"/>
      <c r="P300" s="15"/>
      <c r="Q300" s="15"/>
      <c r="Y300" s="15"/>
      <c r="Z300" s="15"/>
      <c r="AB300" s="83"/>
    </row>
    <row r="301" spans="3:28" s="1" customFormat="1" ht="14.25">
      <c r="C301" s="2"/>
      <c r="P301" s="15"/>
      <c r="Q301" s="15"/>
      <c r="Y301" s="15"/>
      <c r="Z301" s="15"/>
      <c r="AB301" s="83"/>
    </row>
    <row r="302" spans="3:28" s="1" customFormat="1" ht="14.25">
      <c r="C302" s="2"/>
      <c r="P302" s="15"/>
      <c r="Q302" s="15"/>
      <c r="Y302" s="15"/>
      <c r="Z302" s="15"/>
      <c r="AB302" s="83"/>
    </row>
    <row r="303" spans="3:28" s="1" customFormat="1" ht="14.25">
      <c r="C303" s="2"/>
      <c r="P303" s="15"/>
      <c r="Q303" s="15"/>
      <c r="Y303" s="15"/>
      <c r="Z303" s="15"/>
      <c r="AB303" s="83"/>
    </row>
    <row r="304" spans="3:28" s="1" customFormat="1" ht="14.25">
      <c r="C304" s="2"/>
      <c r="P304" s="15"/>
      <c r="Q304" s="15"/>
      <c r="Y304" s="15"/>
      <c r="Z304" s="15"/>
      <c r="AB304" s="83"/>
    </row>
    <row r="305" spans="3:28" s="1" customFormat="1" ht="14.25">
      <c r="C305" s="2"/>
      <c r="P305" s="15"/>
      <c r="Q305" s="15"/>
      <c r="Y305" s="15"/>
      <c r="Z305" s="15"/>
      <c r="AB305" s="83"/>
    </row>
    <row r="306" spans="3:28" s="1" customFormat="1" ht="14.25">
      <c r="C306" s="2"/>
      <c r="P306" s="15"/>
      <c r="Q306" s="15"/>
      <c r="Y306" s="15"/>
      <c r="Z306" s="15"/>
      <c r="AB306" s="83"/>
    </row>
    <row r="307" spans="3:28" s="1" customFormat="1" ht="14.25">
      <c r="C307" s="2"/>
      <c r="P307" s="15"/>
      <c r="Q307" s="15"/>
      <c r="Y307" s="15"/>
      <c r="Z307" s="15"/>
      <c r="AB307" s="83"/>
    </row>
    <row r="308" spans="3:28" s="1" customFormat="1" ht="14.25">
      <c r="C308" s="2"/>
      <c r="P308" s="15"/>
      <c r="Q308" s="15"/>
      <c r="Y308" s="15"/>
      <c r="Z308" s="15"/>
      <c r="AB308" s="83"/>
    </row>
    <row r="309" spans="3:28" s="1" customFormat="1" ht="14.25">
      <c r="C309" s="2"/>
      <c r="P309" s="15"/>
      <c r="Q309" s="15"/>
      <c r="Y309" s="15"/>
      <c r="Z309" s="15"/>
      <c r="AB309" s="83"/>
    </row>
    <row r="310" spans="3:28" s="1" customFormat="1" ht="14.25">
      <c r="C310" s="2"/>
      <c r="P310" s="15"/>
      <c r="Q310" s="15"/>
      <c r="Y310" s="15"/>
      <c r="Z310" s="15"/>
      <c r="AB310" s="83"/>
    </row>
    <row r="311" spans="3:28" s="1" customFormat="1" ht="14.25">
      <c r="C311" s="2"/>
      <c r="P311" s="15"/>
      <c r="Q311" s="15"/>
      <c r="Y311" s="15"/>
      <c r="Z311" s="15"/>
      <c r="AB311" s="83"/>
    </row>
  </sheetData>
  <sheetProtection/>
  <mergeCells count="25">
    <mergeCell ref="B59:AS59"/>
    <mergeCell ref="B60:AS60"/>
    <mergeCell ref="R11:Z11"/>
    <mergeCell ref="AC11:AU11"/>
    <mergeCell ref="B63:AS65"/>
    <mergeCell ref="O11:O13"/>
    <mergeCell ref="E12:E13"/>
    <mergeCell ref="F12:F13"/>
    <mergeCell ref="G12:G13"/>
    <mergeCell ref="X12:X13"/>
    <mergeCell ref="C34:AS34"/>
    <mergeCell ref="O35:AS35"/>
    <mergeCell ref="AG2:AS3"/>
    <mergeCell ref="C6:AP8"/>
    <mergeCell ref="B58:AS58"/>
    <mergeCell ref="A10:A13"/>
    <mergeCell ref="B10:B13"/>
    <mergeCell ref="C10:C13"/>
    <mergeCell ref="D10:N10"/>
    <mergeCell ref="O10:AS10"/>
    <mergeCell ref="D11:D13"/>
    <mergeCell ref="E11:G11"/>
    <mergeCell ref="H11:N11"/>
    <mergeCell ref="R12:R13"/>
    <mergeCell ref="U12:U13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D29"/>
  <sheetViews>
    <sheetView zoomScalePageLayoutView="0" workbookViewId="0" topLeftCell="A4">
      <selection activeCell="D30" sqref="D30"/>
    </sheetView>
  </sheetViews>
  <sheetFormatPr defaultColWidth="9.140625" defaultRowHeight="15"/>
  <sheetData>
    <row r="23" spans="2:4" ht="14.25">
      <c r="B23" s="1">
        <f>SUM(Лист1!O36:O55)</f>
        <v>427.93999999999994</v>
      </c>
      <c r="D23" t="s">
        <v>78</v>
      </c>
    </row>
    <row r="24" spans="2:4" ht="14.25">
      <c r="B24" s="1">
        <f>SUM(Лист1!O15:O33)</f>
        <v>384.3599999999999</v>
      </c>
      <c r="D24">
        <f>SUM(Лист1!O36:O41)</f>
        <v>121.97999999999999</v>
      </c>
    </row>
    <row r="25" spans="2:4" ht="14.25">
      <c r="B25" s="1">
        <f>SUM(B23:B24)</f>
        <v>812.2999999999998</v>
      </c>
      <c r="D25">
        <f>D24/6</f>
        <v>20.33</v>
      </c>
    </row>
    <row r="26" spans="2:4" ht="14.25">
      <c r="B26" s="1" t="s">
        <v>77</v>
      </c>
      <c r="D26" t="s">
        <v>81</v>
      </c>
    </row>
    <row r="27" spans="2:4" ht="14.25">
      <c r="B27" s="1"/>
      <c r="D27">
        <f>B25-D24</f>
        <v>690.3199999999998</v>
      </c>
    </row>
    <row r="28" ht="14.25">
      <c r="B28" s="1"/>
    </row>
    <row r="29" spans="1:4" ht="14.25">
      <c r="A29" t="s">
        <v>79</v>
      </c>
      <c r="B29" s="1">
        <f>B25/39</f>
        <v>20.828205128205123</v>
      </c>
      <c r="C29" t="s">
        <v>80</v>
      </c>
      <c r="D29">
        <f>D27/33</f>
        <v>20.918787878787874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1</cp:lastModifiedBy>
  <cp:lastPrinted>2022-06-23T03:49:15Z</cp:lastPrinted>
  <dcterms:created xsi:type="dcterms:W3CDTF">2019-06-27T07:48:49Z</dcterms:created>
  <dcterms:modified xsi:type="dcterms:W3CDTF">2022-06-23T04:07:20Z</dcterms:modified>
  <cp:category/>
  <cp:version/>
  <cp:contentType/>
  <cp:contentStatus/>
</cp:coreProperties>
</file>