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activeTab="3"/>
  </bookViews>
  <sheets>
    <sheet name="ПРИЛОЖЕНИЕ №1" sheetId="1" r:id="rId1"/>
    <sheet name="ПРИЛОЖЕНИЕ №2" sheetId="2" r:id="rId2"/>
    <sheet name="ПРИЛОЖЕНИЕ №3" sheetId="3" r:id="rId3"/>
    <sheet name="ПРИЛОЖЕНИЕ №4" sheetId="4" r:id="rId4"/>
  </sheets>
  <definedNames>
    <definedName name="OLE_LINK1" localSheetId="3">'ПРИЛОЖЕНИЕ №4'!$A$1</definedName>
    <definedName name="_xlnm.Print_Area" localSheetId="0">'ПРИЛОЖЕНИЕ №1'!$A$1:$K$320</definedName>
    <definedName name="_xlnm.Print_Area" localSheetId="1">'ПРИЛОЖЕНИЕ №2'!$A$1:$K$80</definedName>
  </definedNames>
  <calcPr calcId="124519"/>
</workbook>
</file>

<file path=xl/calcChain.xml><?xml version="1.0" encoding="utf-8"?>
<calcChain xmlns="http://schemas.openxmlformats.org/spreadsheetml/2006/main">
  <c r="M92" i="3"/>
  <c r="G73" i="2"/>
  <c r="M81" i="3"/>
  <c r="M121"/>
  <c r="M119"/>
  <c r="M97"/>
  <c r="M113"/>
  <c r="M115"/>
  <c r="M116"/>
  <c r="H52" i="4"/>
  <c r="I97" i="3"/>
  <c r="I115"/>
  <c r="H49" i="4"/>
  <c r="D49" s="1"/>
  <c r="M89" i="3"/>
  <c r="H80" i="2"/>
  <c r="N113" i="3"/>
  <c r="O99"/>
  <c r="O103"/>
  <c r="H79" i="2"/>
  <c r="I79"/>
  <c r="J79"/>
  <c r="I67" i="4"/>
  <c r="I72"/>
  <c r="I71"/>
  <c r="I70"/>
  <c r="I66"/>
  <c r="N109" i="3"/>
  <c r="N101"/>
  <c r="N99"/>
  <c r="N85"/>
  <c r="N89"/>
  <c r="N70"/>
  <c r="N59"/>
  <c r="I43" i="2"/>
  <c r="I40" s="1"/>
  <c r="I34" s="1"/>
  <c r="H43"/>
  <c r="I57"/>
  <c r="I59"/>
  <c r="I78"/>
  <c r="H57"/>
  <c r="H59"/>
  <c r="F80"/>
  <c r="L121" i="3"/>
  <c r="H31" i="4"/>
  <c r="H29"/>
  <c r="D52"/>
  <c r="K116" i="3"/>
  <c r="L116"/>
  <c r="J116"/>
  <c r="I119"/>
  <c r="I118"/>
  <c r="I117"/>
  <c r="J118"/>
  <c r="D51" i="4"/>
  <c r="G57"/>
  <c r="G80" i="2"/>
  <c r="G79" s="1"/>
  <c r="G59"/>
  <c r="G58" s="1"/>
  <c r="M51" i="3"/>
  <c r="M49" s="1"/>
  <c r="G44" i="2" s="1"/>
  <c r="D50" i="4"/>
  <c r="G16"/>
  <c r="L96" i="3"/>
  <c r="G40" i="4"/>
  <c r="D75"/>
  <c r="D71"/>
  <c r="D70"/>
  <c r="D69"/>
  <c r="D66"/>
  <c r="D64"/>
  <c r="D63"/>
  <c r="D62"/>
  <c r="I122" i="3"/>
  <c r="I123"/>
  <c r="I124"/>
  <c r="I125"/>
  <c r="I126"/>
  <c r="I127"/>
  <c r="I128"/>
  <c r="I129"/>
  <c r="I130"/>
  <c r="I131"/>
  <c r="I132"/>
  <c r="I133"/>
  <c r="I134"/>
  <c r="I135"/>
  <c r="I93"/>
  <c r="I94"/>
  <c r="I95"/>
  <c r="I98"/>
  <c r="I99"/>
  <c r="I100"/>
  <c r="I101"/>
  <c r="I102"/>
  <c r="I103"/>
  <c r="I104"/>
  <c r="I105"/>
  <c r="I106"/>
  <c r="I107"/>
  <c r="I108"/>
  <c r="I109"/>
  <c r="I112"/>
  <c r="I84"/>
  <c r="I85"/>
  <c r="I86"/>
  <c r="I87"/>
  <c r="I88"/>
  <c r="I90"/>
  <c r="D54" i="4"/>
  <c r="D19" i="2"/>
  <c r="C22"/>
  <c r="C18"/>
  <c r="K121" i="3"/>
  <c r="E80" i="2" s="1"/>
  <c r="F30" i="1"/>
  <c r="G58" i="4"/>
  <c r="G53"/>
  <c r="F53"/>
  <c r="H53"/>
  <c r="I53"/>
  <c r="J53"/>
  <c r="K53"/>
  <c r="D48"/>
  <c r="D46"/>
  <c r="D47"/>
  <c r="F44"/>
  <c r="K96" i="3"/>
  <c r="E30" i="1"/>
  <c r="D45" i="4"/>
  <c r="F33"/>
  <c r="F29"/>
  <c r="F16" s="1"/>
  <c r="E57" i="2" s="1"/>
  <c r="F58" i="4"/>
  <c r="D43"/>
  <c r="D41"/>
  <c r="J112" i="3"/>
  <c r="J111"/>
  <c r="J110"/>
  <c r="I110" s="1"/>
  <c r="J114"/>
  <c r="I114" s="1"/>
  <c r="J117"/>
  <c r="J96"/>
  <c r="I96" s="1"/>
  <c r="D73" i="2"/>
  <c r="J76"/>
  <c r="D78"/>
  <c r="D68"/>
  <c r="D21" s="1"/>
  <c r="K111" i="3"/>
  <c r="K110"/>
  <c r="P121"/>
  <c r="O121"/>
  <c r="J121"/>
  <c r="D28" i="2"/>
  <c r="D33" i="4"/>
  <c r="D60"/>
  <c r="J113" i="3"/>
  <c r="J53"/>
  <c r="J51" s="1"/>
  <c r="D41" i="2"/>
  <c r="J17"/>
  <c r="F16"/>
  <c r="J16"/>
  <c r="D16"/>
  <c r="J63"/>
  <c r="J73"/>
  <c r="J68" s="1"/>
  <c r="M50" i="3"/>
  <c r="K66"/>
  <c r="L66"/>
  <c r="M66"/>
  <c r="N66"/>
  <c r="O66"/>
  <c r="P66"/>
  <c r="J66"/>
  <c r="O65"/>
  <c r="P65"/>
  <c r="N65"/>
  <c r="K65"/>
  <c r="L65"/>
  <c r="M65"/>
  <c r="J65"/>
  <c r="K51"/>
  <c r="L51"/>
  <c r="L49" s="1"/>
  <c r="N51"/>
  <c r="O51"/>
  <c r="O49" s="1"/>
  <c r="P51"/>
  <c r="K50"/>
  <c r="K48" s="1"/>
  <c r="L50"/>
  <c r="L48" s="1"/>
  <c r="N50"/>
  <c r="O50"/>
  <c r="P50"/>
  <c r="P48" s="1"/>
  <c r="J50"/>
  <c r="J48" s="1"/>
  <c r="I52"/>
  <c r="I54"/>
  <c r="I55"/>
  <c r="I56"/>
  <c r="I57"/>
  <c r="I58"/>
  <c r="I59"/>
  <c r="I60"/>
  <c r="I61"/>
  <c r="I62"/>
  <c r="I63"/>
  <c r="I67"/>
  <c r="I68"/>
  <c r="I69"/>
  <c r="I70"/>
  <c r="I71"/>
  <c r="I72"/>
  <c r="P39"/>
  <c r="P38"/>
  <c r="P36"/>
  <c r="P35"/>
  <c r="P33"/>
  <c r="I33" s="1"/>
  <c r="P31"/>
  <c r="I31" s="1"/>
  <c r="P30"/>
  <c r="P29"/>
  <c r="P25"/>
  <c r="P23"/>
  <c r="P15"/>
  <c r="O40"/>
  <c r="O37" s="1"/>
  <c r="P41"/>
  <c r="O41"/>
  <c r="P43"/>
  <c r="P44"/>
  <c r="O44"/>
  <c r="O42" s="1"/>
  <c r="P46"/>
  <c r="P45" s="1"/>
  <c r="O46"/>
  <c r="N38"/>
  <c r="N39"/>
  <c r="N37" s="1"/>
  <c r="N34"/>
  <c r="I34" s="1"/>
  <c r="N28"/>
  <c r="I28" s="1"/>
  <c r="N21"/>
  <c r="N20" s="1"/>
  <c r="M22"/>
  <c r="M20" s="1"/>
  <c r="M35"/>
  <c r="M36"/>
  <c r="M44"/>
  <c r="M42" s="1"/>
  <c r="M46"/>
  <c r="M45" s="1"/>
  <c r="M41"/>
  <c r="M39"/>
  <c r="M38"/>
  <c r="M37" s="1"/>
  <c r="L46"/>
  <c r="L45" s="1"/>
  <c r="L41"/>
  <c r="L25"/>
  <c r="L23"/>
  <c r="L16"/>
  <c r="I16" s="1"/>
  <c r="K46"/>
  <c r="K45" s="1"/>
  <c r="K44"/>
  <c r="K42"/>
  <c r="K41"/>
  <c r="K37" s="1"/>
  <c r="K18"/>
  <c r="K15"/>
  <c r="J44"/>
  <c r="J42" s="1"/>
  <c r="J46"/>
  <c r="J45" s="1"/>
  <c r="J41"/>
  <c r="J37" s="1"/>
  <c r="J22"/>
  <c r="J21"/>
  <c r="I21" s="1"/>
  <c r="I40"/>
  <c r="I29"/>
  <c r="I30"/>
  <c r="I18"/>
  <c r="N45"/>
  <c r="O45"/>
  <c r="L42"/>
  <c r="N42"/>
  <c r="L37"/>
  <c r="J32"/>
  <c r="K32"/>
  <c r="L32"/>
  <c r="O32"/>
  <c r="J27"/>
  <c r="K27"/>
  <c r="L27"/>
  <c r="M27"/>
  <c r="N27"/>
  <c r="O27"/>
  <c r="P27"/>
  <c r="K20"/>
  <c r="O20"/>
  <c r="D42" i="2"/>
  <c r="E35" i="4"/>
  <c r="E34" s="1"/>
  <c r="E16" s="1"/>
  <c r="C56" i="2"/>
  <c r="D57"/>
  <c r="D54" s="1"/>
  <c r="E15" i="4"/>
  <c r="D59" i="2"/>
  <c r="E53" i="4"/>
  <c r="D39"/>
  <c r="D38"/>
  <c r="D37"/>
  <c r="D36"/>
  <c r="D35"/>
  <c r="D40"/>
  <c r="P116" i="3"/>
  <c r="J69" i="2"/>
  <c r="J64" s="1"/>
  <c r="J67"/>
  <c r="I69"/>
  <c r="I67"/>
  <c r="I62" s="1"/>
  <c r="H69"/>
  <c r="H64" s="1"/>
  <c r="H67"/>
  <c r="H62" s="1"/>
  <c r="G69"/>
  <c r="G67"/>
  <c r="F69"/>
  <c r="F64" s="1"/>
  <c r="F67"/>
  <c r="E69"/>
  <c r="E67"/>
  <c r="D69"/>
  <c r="D64" s="1"/>
  <c r="D67"/>
  <c r="D62" s="1"/>
  <c r="C69"/>
  <c r="C64" s="1"/>
  <c r="J62"/>
  <c r="I64"/>
  <c r="G64"/>
  <c r="G62"/>
  <c r="F62"/>
  <c r="E64"/>
  <c r="E62"/>
  <c r="J58"/>
  <c r="J54"/>
  <c r="J53"/>
  <c r="J52"/>
  <c r="J49" s="1"/>
  <c r="I58"/>
  <c r="I54"/>
  <c r="I53"/>
  <c r="I52"/>
  <c r="H58"/>
  <c r="H54"/>
  <c r="H53"/>
  <c r="H52"/>
  <c r="H24" s="1"/>
  <c r="G52"/>
  <c r="F52"/>
  <c r="E58"/>
  <c r="E52"/>
  <c r="D52"/>
  <c r="J46"/>
  <c r="J36" s="1"/>
  <c r="I46"/>
  <c r="I36" s="1"/>
  <c r="H46"/>
  <c r="H36" s="1"/>
  <c r="G46"/>
  <c r="G36" s="1"/>
  <c r="F46"/>
  <c r="F36" s="1"/>
  <c r="E46"/>
  <c r="E36" s="1"/>
  <c r="D46"/>
  <c r="D36" s="1"/>
  <c r="C46"/>
  <c r="C36" s="1"/>
  <c r="C31" s="1"/>
  <c r="J42"/>
  <c r="J41"/>
  <c r="J40"/>
  <c r="H40"/>
  <c r="G40"/>
  <c r="G34" s="1"/>
  <c r="F42"/>
  <c r="F41"/>
  <c r="F40"/>
  <c r="F38"/>
  <c r="E42"/>
  <c r="E41"/>
  <c r="E40"/>
  <c r="D40"/>
  <c r="D34" s="1"/>
  <c r="C43"/>
  <c r="C40" s="1"/>
  <c r="J34"/>
  <c r="J20" s="1"/>
  <c r="H34"/>
  <c r="J29"/>
  <c r="H29"/>
  <c r="J25"/>
  <c r="J23" s="1"/>
  <c r="J24"/>
  <c r="F24"/>
  <c r="E24"/>
  <c r="E16" s="1"/>
  <c r="D24"/>
  <c r="K74" i="4"/>
  <c r="J74"/>
  <c r="I74"/>
  <c r="H74"/>
  <c r="G74"/>
  <c r="F74"/>
  <c r="E74"/>
  <c r="K65"/>
  <c r="J65"/>
  <c r="I65"/>
  <c r="H65"/>
  <c r="G65"/>
  <c r="F65"/>
  <c r="E65"/>
  <c r="K58"/>
  <c r="J58"/>
  <c r="J57" s="1"/>
  <c r="I58"/>
  <c r="H58"/>
  <c r="E58"/>
  <c r="D73"/>
  <c r="D72"/>
  <c r="D61"/>
  <c r="D59"/>
  <c r="D55"/>
  <c r="D32"/>
  <c r="D31"/>
  <c r="D30"/>
  <c r="D29"/>
  <c r="D28"/>
  <c r="D27"/>
  <c r="D26"/>
  <c r="D25"/>
  <c r="D24"/>
  <c r="D23"/>
  <c r="D19"/>
  <c r="D18"/>
  <c r="D17"/>
  <c r="J75" i="2"/>
  <c r="J77"/>
  <c r="P92" i="3"/>
  <c r="O92"/>
  <c r="N92"/>
  <c r="L92"/>
  <c r="O116"/>
  <c r="N116"/>
  <c r="F15" i="4"/>
  <c r="G15"/>
  <c r="F34"/>
  <c r="G34"/>
  <c r="H34"/>
  <c r="I34"/>
  <c r="J34"/>
  <c r="K34"/>
  <c r="I16"/>
  <c r="J16"/>
  <c r="K16"/>
  <c r="H15"/>
  <c r="I15"/>
  <c r="J15"/>
  <c r="K15"/>
  <c r="C72" i="2"/>
  <c r="C67" s="1"/>
  <c r="C62" s="1"/>
  <c r="J91" i="3"/>
  <c r="K91"/>
  <c r="K80" s="1"/>
  <c r="L91"/>
  <c r="M91"/>
  <c r="N91"/>
  <c r="O91"/>
  <c r="P91"/>
  <c r="P80" s="1"/>
  <c r="L82"/>
  <c r="L80" s="1"/>
  <c r="J83"/>
  <c r="K83"/>
  <c r="L83"/>
  <c r="M83"/>
  <c r="N83"/>
  <c r="O83"/>
  <c r="P83"/>
  <c r="J82"/>
  <c r="I82" s="1"/>
  <c r="K82"/>
  <c r="M82"/>
  <c r="M80" s="1"/>
  <c r="N82"/>
  <c r="O82"/>
  <c r="P82"/>
  <c r="I78"/>
  <c r="I75"/>
  <c r="I76"/>
  <c r="I77"/>
  <c r="K74"/>
  <c r="I74" s="1"/>
  <c r="K73"/>
  <c r="I73"/>
  <c r="D77" i="2"/>
  <c r="D76" s="1"/>
  <c r="D75" s="1"/>
  <c r="I77"/>
  <c r="I76" s="1"/>
  <c r="E38"/>
  <c r="I43" i="3"/>
  <c r="I39"/>
  <c r="I36"/>
  <c r="P49"/>
  <c r="P14"/>
  <c r="O14"/>
  <c r="F34" i="2"/>
  <c r="J35"/>
  <c r="J33" s="1"/>
  <c r="D71"/>
  <c r="D58"/>
  <c r="D53"/>
  <c r="D35"/>
  <c r="E34"/>
  <c r="D38"/>
  <c r="N14" i="3"/>
  <c r="E20" i="2"/>
  <c r="E29"/>
  <c r="F20"/>
  <c r="F29"/>
  <c r="J30"/>
  <c r="M14" i="3"/>
  <c r="K14"/>
  <c r="J14"/>
  <c r="I15"/>
  <c r="G71" i="2" l="1"/>
  <c r="I113" i="3"/>
  <c r="H16" i="4"/>
  <c r="G57" i="2" s="1"/>
  <c r="G53" s="1"/>
  <c r="G49" s="1"/>
  <c r="H57" i="4"/>
  <c r="O81" i="3"/>
  <c r="I73" i="2" s="1"/>
  <c r="I68" s="1"/>
  <c r="I89" i="3"/>
  <c r="N49"/>
  <c r="H44" i="2" s="1"/>
  <c r="H42" s="1"/>
  <c r="I49"/>
  <c r="I25"/>
  <c r="I66" i="3"/>
  <c r="H49" i="2"/>
  <c r="H20"/>
  <c r="I91" i="3"/>
  <c r="F79" i="2"/>
  <c r="I116" i="3"/>
  <c r="G41" i="2"/>
  <c r="G42"/>
  <c r="I83" i="3"/>
  <c r="J92"/>
  <c r="P32"/>
  <c r="I41"/>
  <c r="I23"/>
  <c r="I38"/>
  <c r="L14"/>
  <c r="I44"/>
  <c r="N32"/>
  <c r="I27"/>
  <c r="N48"/>
  <c r="I65"/>
  <c r="K49"/>
  <c r="I111"/>
  <c r="D74" i="4"/>
  <c r="D65"/>
  <c r="E53" i="2"/>
  <c r="E30" s="1"/>
  <c r="E28" s="1"/>
  <c r="E54"/>
  <c r="E57" i="4"/>
  <c r="K57"/>
  <c r="F57" i="2"/>
  <c r="L81" i="3"/>
  <c r="I121"/>
  <c r="J49"/>
  <c r="I51"/>
  <c r="I14"/>
  <c r="I53"/>
  <c r="K13"/>
  <c r="I46"/>
  <c r="I45" s="1"/>
  <c r="I50"/>
  <c r="N80"/>
  <c r="P81"/>
  <c r="O13"/>
  <c r="I37"/>
  <c r="O80"/>
  <c r="I25"/>
  <c r="O48"/>
  <c r="I44" i="2" s="1"/>
  <c r="C44" s="1"/>
  <c r="F59"/>
  <c r="F58" s="1"/>
  <c r="D53" i="4"/>
  <c r="E79" i="2"/>
  <c r="C79" s="1"/>
  <c r="C80"/>
  <c r="N81" i="3"/>
  <c r="H73" i="2" s="1"/>
  <c r="K92" i="3"/>
  <c r="K81" s="1"/>
  <c r="E73" i="2" s="1"/>
  <c r="F78"/>
  <c r="F77" s="1"/>
  <c r="F76" s="1"/>
  <c r="I57" i="4"/>
  <c r="H78" i="2" s="1"/>
  <c r="H77" s="1"/>
  <c r="H76" s="1"/>
  <c r="D58" i="4"/>
  <c r="G24" i="2"/>
  <c r="C52"/>
  <c r="M48" i="3"/>
  <c r="I49"/>
  <c r="D25" i="2"/>
  <c r="D23" s="1"/>
  <c r="J66"/>
  <c r="J71"/>
  <c r="I20"/>
  <c r="I29"/>
  <c r="G29"/>
  <c r="G20"/>
  <c r="F31"/>
  <c r="F22"/>
  <c r="F18" s="1"/>
  <c r="F33"/>
  <c r="D49"/>
  <c r="I42" i="3"/>
  <c r="D15" i="4"/>
  <c r="F57"/>
  <c r="J38" i="2"/>
  <c r="I24"/>
  <c r="I23" s="1"/>
  <c r="J61"/>
  <c r="J81" i="3"/>
  <c r="J20"/>
  <c r="J13" s="1"/>
  <c r="M32"/>
  <c r="M13" s="1"/>
  <c r="N13"/>
  <c r="P42"/>
  <c r="P20"/>
  <c r="P37"/>
  <c r="H22" i="2"/>
  <c r="H18" s="1"/>
  <c r="H31"/>
  <c r="G22"/>
  <c r="G18" s="1"/>
  <c r="G31"/>
  <c r="E33"/>
  <c r="E31"/>
  <c r="E22"/>
  <c r="E18" s="1"/>
  <c r="D30"/>
  <c r="D29"/>
  <c r="D33"/>
  <c r="D20"/>
  <c r="I22"/>
  <c r="I18" s="1"/>
  <c r="I31"/>
  <c r="D34" i="4"/>
  <c r="C34" i="2"/>
  <c r="D66"/>
  <c r="D63"/>
  <c r="D61" s="1"/>
  <c r="D22"/>
  <c r="D31"/>
  <c r="J22"/>
  <c r="J18" s="1"/>
  <c r="J31"/>
  <c r="J28" s="1"/>
  <c r="J21"/>
  <c r="I75"/>
  <c r="I22" i="3"/>
  <c r="I20" s="1"/>
  <c r="L20"/>
  <c r="L13" s="1"/>
  <c r="I35"/>
  <c r="I32" s="1"/>
  <c r="D16" i="4" l="1"/>
  <c r="H41" i="2"/>
  <c r="H35" s="1"/>
  <c r="H33" s="1"/>
  <c r="G78"/>
  <c r="G77" s="1"/>
  <c r="G76" s="1"/>
  <c r="G75" s="1"/>
  <c r="G68"/>
  <c r="G66" s="1"/>
  <c r="I66"/>
  <c r="I63"/>
  <c r="I61" s="1"/>
  <c r="I71"/>
  <c r="H75"/>
  <c r="H25"/>
  <c r="H23" s="1"/>
  <c r="H68"/>
  <c r="H71"/>
  <c r="H30"/>
  <c r="H28" s="1"/>
  <c r="H38"/>
  <c r="C41"/>
  <c r="C35" s="1"/>
  <c r="C33" s="1"/>
  <c r="C42"/>
  <c r="I41"/>
  <c r="I42"/>
  <c r="I16"/>
  <c r="C24"/>
  <c r="I80" i="3"/>
  <c r="C20" i="2"/>
  <c r="H16"/>
  <c r="I48" i="3"/>
  <c r="C57" i="2"/>
  <c r="G54"/>
  <c r="G35"/>
  <c r="G38"/>
  <c r="I92" i="3"/>
  <c r="E49" i="2"/>
  <c r="F54"/>
  <c r="I81" i="3"/>
  <c r="F73" i="2"/>
  <c r="C73" s="1"/>
  <c r="P13" i="3"/>
  <c r="F53" i="2"/>
  <c r="F75"/>
  <c r="E78"/>
  <c r="E77" s="1"/>
  <c r="C59"/>
  <c r="C58" s="1"/>
  <c r="E71"/>
  <c r="E68"/>
  <c r="D57" i="4"/>
  <c r="C29" i="2"/>
  <c r="G16"/>
  <c r="C16" s="1"/>
  <c r="D17"/>
  <c r="J15"/>
  <c r="I13" i="3"/>
  <c r="J19" i="2"/>
  <c r="D18"/>
  <c r="C54" l="1"/>
  <c r="G25"/>
  <c r="G23" s="1"/>
  <c r="G63"/>
  <c r="G61" s="1"/>
  <c r="H66"/>
  <c r="H63"/>
  <c r="H61" s="1"/>
  <c r="H21"/>
  <c r="C38"/>
  <c r="I38"/>
  <c r="I35"/>
  <c r="G30"/>
  <c r="G28" s="1"/>
  <c r="G21"/>
  <c r="G19" s="1"/>
  <c r="G33"/>
  <c r="C78"/>
  <c r="F68"/>
  <c r="F21" s="1"/>
  <c r="F19" s="1"/>
  <c r="F71"/>
  <c r="F49"/>
  <c r="C49" s="1"/>
  <c r="F25"/>
  <c r="F30"/>
  <c r="C53"/>
  <c r="E76"/>
  <c r="C77"/>
  <c r="C68"/>
  <c r="C71"/>
  <c r="E21"/>
  <c r="E19" s="1"/>
  <c r="E66"/>
  <c r="D15"/>
  <c r="H17" l="1"/>
  <c r="H15" s="1"/>
  <c r="H19"/>
  <c r="I30"/>
  <c r="I28" s="1"/>
  <c r="I21"/>
  <c r="I17" s="1"/>
  <c r="I15" s="1"/>
  <c r="I33"/>
  <c r="G17"/>
  <c r="G15" s="1"/>
  <c r="F63"/>
  <c r="F61" s="1"/>
  <c r="F66"/>
  <c r="F23"/>
  <c r="F28"/>
  <c r="F17"/>
  <c r="E75"/>
  <c r="C75" s="1"/>
  <c r="E25"/>
  <c r="C25" s="1"/>
  <c r="C76"/>
  <c r="C63" s="1"/>
  <c r="C61" s="1"/>
  <c r="E63"/>
  <c r="E61" s="1"/>
  <c r="C66"/>
  <c r="I19" l="1"/>
  <c r="C19" s="1"/>
  <c r="C21"/>
  <c r="C30"/>
  <c r="C28" s="1"/>
  <c r="F15"/>
  <c r="E23"/>
  <c r="C23" s="1"/>
  <c r="E17"/>
  <c r="C17" l="1"/>
  <c r="E15"/>
  <c r="C15" s="1"/>
</calcChain>
</file>

<file path=xl/comments1.xml><?xml version="1.0" encoding="utf-8"?>
<comments xmlns="http://schemas.openxmlformats.org/spreadsheetml/2006/main">
  <authors>
    <author>Архитектор</author>
  </authors>
  <commentList>
    <comment ref="E78" authorId="0">
      <text>
        <r>
          <rPr>
            <b/>
            <sz val="9"/>
            <color indexed="81"/>
            <rFont val="Tahoma"/>
            <charset val="1"/>
          </rPr>
          <t>Камаева О.А. 
Убрала 895,0 тыс.руб.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Архитектор</author>
    <author>Камаева О.А.</author>
  </authors>
  <commentList>
    <comment ref="J13" authorId="0">
      <text>
        <r>
          <rPr>
            <sz val="9"/>
            <color indexed="81"/>
            <rFont val="Tahoma"/>
            <family val="2"/>
            <charset val="204"/>
          </rPr>
          <t xml:space="preserve">Камаева: стоимость 1 кв.м. жилья 35 тыс.кв.м.
</t>
        </r>
      </text>
    </comment>
    <comment ref="J53" authorId="1">
      <text>
        <r>
          <rPr>
            <b/>
            <sz val="9"/>
            <color indexed="81"/>
            <rFont val="Tahoma"/>
            <family val="2"/>
            <charset val="204"/>
          </rPr>
          <t>Камаева О.А.:</t>
        </r>
        <r>
          <rPr>
            <sz val="9"/>
            <color indexed="81"/>
            <rFont val="Tahoma"/>
            <family val="2"/>
            <charset val="204"/>
          </rPr>
          <t xml:space="preserve">
добавили 
</t>
        </r>
      </text>
    </comment>
    <comment ref="N59" authorId="0">
      <text>
        <r>
          <rPr>
            <b/>
            <sz val="9"/>
            <color indexed="81"/>
            <rFont val="Tahoma"/>
            <charset val="1"/>
          </rPr>
          <t>Архитектор:</t>
        </r>
        <r>
          <rPr>
            <sz val="9"/>
            <color indexed="81"/>
            <rFont val="Tahoma"/>
            <charset val="1"/>
          </rPr>
          <t xml:space="preserve">
- 8000
</t>
        </r>
      </text>
    </comment>
    <comment ref="N70" authorId="0">
      <text>
        <r>
          <rPr>
            <b/>
            <sz val="9"/>
            <color indexed="81"/>
            <rFont val="Tahoma"/>
            <charset val="1"/>
          </rPr>
          <t>Архитектор:</t>
        </r>
        <r>
          <rPr>
            <sz val="9"/>
            <color indexed="81"/>
            <rFont val="Tahoma"/>
            <charset val="1"/>
          </rPr>
          <t xml:space="preserve">
- 2480
</t>
        </r>
      </text>
    </comment>
    <comment ref="N89" authorId="0">
      <text>
        <r>
          <rPr>
            <b/>
            <sz val="9"/>
            <color indexed="81"/>
            <rFont val="Tahoma"/>
            <charset val="1"/>
          </rPr>
          <t>Архитектор:</t>
        </r>
        <r>
          <rPr>
            <sz val="9"/>
            <color indexed="81"/>
            <rFont val="Tahoma"/>
            <charset val="1"/>
          </rPr>
          <t xml:space="preserve">
- 1 440
</t>
        </r>
      </text>
    </comment>
    <comment ref="N99" authorId="0">
      <text>
        <r>
          <rPr>
            <b/>
            <sz val="9"/>
            <color indexed="81"/>
            <rFont val="Tahoma"/>
            <family val="2"/>
            <charset val="204"/>
          </rPr>
          <t>Архитектор:</t>
        </r>
        <r>
          <rPr>
            <sz val="9"/>
            <color indexed="81"/>
            <rFont val="Tahoma"/>
            <family val="2"/>
            <charset val="204"/>
          </rPr>
          <t xml:space="preserve">
-1740
</t>
        </r>
      </text>
    </comment>
    <comment ref="N101" authorId="0">
      <text>
        <r>
          <rPr>
            <b/>
            <sz val="9"/>
            <color indexed="81"/>
            <rFont val="Tahoma"/>
            <family val="2"/>
            <charset val="204"/>
          </rPr>
          <t>Архитектор:</t>
        </r>
        <r>
          <rPr>
            <sz val="9"/>
            <color indexed="81"/>
            <rFont val="Tahoma"/>
            <family val="2"/>
            <charset val="204"/>
          </rPr>
          <t xml:space="preserve">
- 3090
</t>
        </r>
      </text>
    </comment>
    <comment ref="O103" authorId="0">
      <text>
        <r>
          <rPr>
            <b/>
            <sz val="9"/>
            <color indexed="81"/>
            <rFont val="Tahoma"/>
            <family val="2"/>
            <charset val="204"/>
          </rPr>
          <t>Архитектор:</t>
        </r>
        <r>
          <rPr>
            <sz val="9"/>
            <color indexed="81"/>
            <rFont val="Tahoma"/>
            <family val="2"/>
            <charset val="204"/>
          </rPr>
          <t xml:space="preserve">
-870
</t>
        </r>
      </text>
    </comment>
    <comment ref="N109" authorId="0">
      <text>
        <r>
          <rPr>
            <b/>
            <sz val="9"/>
            <color indexed="81"/>
            <rFont val="Tahoma"/>
            <family val="2"/>
            <charset val="204"/>
          </rPr>
          <t>Архитектор:</t>
        </r>
        <r>
          <rPr>
            <sz val="9"/>
            <color indexed="81"/>
            <rFont val="Tahoma"/>
            <family val="2"/>
            <charset val="204"/>
          </rPr>
          <t xml:space="preserve">
-300</t>
        </r>
      </text>
    </comment>
    <comment ref="J111" authorId="0">
      <text>
        <r>
          <rPr>
            <sz val="9"/>
            <color indexed="81"/>
            <rFont val="Tahoma"/>
            <charset val="1"/>
          </rPr>
          <t xml:space="preserve">Камаева О.А.:
 + 130 т.р. - врезка и пуск газа
</t>
        </r>
      </text>
    </comment>
    <comment ref="J112" authorId="0">
      <text>
        <r>
          <rPr>
            <sz val="9"/>
            <color indexed="81"/>
            <rFont val="Tahoma"/>
            <family val="2"/>
            <charset val="204"/>
          </rPr>
          <t xml:space="preserve">Камаева: 
+ 203 т.р. Врезка газа
</t>
        </r>
      </text>
    </comment>
    <comment ref="J113" authorId="0">
      <text>
        <r>
          <rPr>
            <sz val="9"/>
            <color indexed="81"/>
            <rFont val="Tahoma"/>
            <charset val="1"/>
          </rPr>
          <t xml:space="preserve">Камаева О.А. 
56 т.р. 
</t>
        </r>
      </text>
    </comment>
    <comment ref="N113" authorId="0">
      <text>
        <r>
          <rPr>
            <b/>
            <sz val="9"/>
            <color indexed="81"/>
            <rFont val="Tahoma"/>
            <family val="2"/>
            <charset val="204"/>
          </rPr>
          <t>Архитектор:</t>
        </r>
        <r>
          <rPr>
            <sz val="9"/>
            <color indexed="81"/>
            <rFont val="Tahoma"/>
            <family val="2"/>
            <charset val="204"/>
          </rPr>
          <t xml:space="preserve">
- 1000
</t>
        </r>
      </text>
    </comment>
    <comment ref="J114" authorId="0">
      <text>
        <r>
          <rPr>
            <sz val="9"/>
            <color indexed="81"/>
            <rFont val="Tahoma"/>
            <charset val="1"/>
          </rPr>
          <t xml:space="preserve">Камаева О.А. 
+82 т.р. 
</t>
        </r>
      </text>
    </comment>
    <comment ref="J118" authorId="0">
      <text>
        <r>
          <rPr>
            <sz val="9"/>
            <color indexed="81"/>
            <rFont val="Tahoma"/>
            <family val="2"/>
            <charset val="204"/>
          </rPr>
          <t xml:space="preserve">Камаева О.А. плюс 210 тыс. руб. ЗАРЯ
</t>
        </r>
      </text>
    </comment>
    <comment ref="J119" authorId="0">
      <text>
        <r>
          <rPr>
            <sz val="9"/>
            <color indexed="81"/>
            <rFont val="Tahoma"/>
            <family val="2"/>
            <charset val="204"/>
          </rPr>
          <t xml:space="preserve">Камаева О.А. плюс 210 тыс. руб. ЗАРЯ
</t>
        </r>
      </text>
    </comment>
    <comment ref="J131" authorId="0">
      <text>
        <r>
          <rPr>
            <sz val="9"/>
            <color indexed="81"/>
            <rFont val="Tahoma"/>
            <family val="2"/>
            <charset val="204"/>
          </rPr>
          <t xml:space="preserve">Камаева О.А. плюс 210 тыс. руб. ЗАРЯ
</t>
        </r>
      </text>
    </comment>
    <comment ref="L131" authorId="0">
      <text>
        <r>
          <rPr>
            <b/>
            <sz val="9"/>
            <color indexed="81"/>
            <rFont val="Tahoma"/>
            <charset val="1"/>
          </rPr>
          <t>Архитектор:</t>
        </r>
        <r>
          <rPr>
            <sz val="9"/>
            <color indexed="81"/>
            <rFont val="Tahoma"/>
            <charset val="1"/>
          </rPr>
          <t xml:space="preserve">
100
</t>
        </r>
      </text>
    </comment>
    <comment ref="J132" authorId="0">
      <text>
        <r>
          <rPr>
            <sz val="9"/>
            <color indexed="81"/>
            <rFont val="Tahoma"/>
            <family val="2"/>
            <charset val="204"/>
          </rPr>
          <t xml:space="preserve">Камаева О.А. плюс 210 тыс. руб. ЗАРЯ
</t>
        </r>
      </text>
    </comment>
    <comment ref="L132" authorId="0">
      <text>
        <r>
          <rPr>
            <b/>
            <sz val="9"/>
            <color indexed="81"/>
            <rFont val="Tahoma"/>
            <charset val="1"/>
          </rPr>
          <t>Архитектор:</t>
        </r>
        <r>
          <rPr>
            <sz val="9"/>
            <color indexed="81"/>
            <rFont val="Tahoma"/>
            <charset val="1"/>
          </rPr>
          <t xml:space="preserve">
30
</t>
        </r>
      </text>
    </comment>
    <comment ref="J133" authorId="0">
      <text>
        <r>
          <rPr>
            <sz val="9"/>
            <color indexed="81"/>
            <rFont val="Tahoma"/>
            <family val="2"/>
            <charset val="204"/>
          </rPr>
          <t xml:space="preserve">Камаева О.А. плюс 210 тыс. руб. ЗАРЯ
</t>
        </r>
      </text>
    </comment>
    <comment ref="J135" authorId="0">
      <text>
        <r>
          <rPr>
            <sz val="9"/>
            <color indexed="81"/>
            <rFont val="Tahoma"/>
            <family val="2"/>
            <charset val="204"/>
          </rPr>
          <t xml:space="preserve">Камаева О.А. плюс 210 тыс. руб. ЗАРЯ
</t>
        </r>
      </text>
    </comment>
  </commentList>
</comments>
</file>

<file path=xl/comments3.xml><?xml version="1.0" encoding="utf-8"?>
<comments xmlns="http://schemas.openxmlformats.org/spreadsheetml/2006/main">
  <authors>
    <author>Камаева О.А.</author>
    <author>Архитектор</author>
  </authors>
  <commentList>
    <comment ref="E16" authorId="0">
      <text>
        <r>
          <rPr>
            <b/>
            <sz val="9"/>
            <color indexed="81"/>
            <rFont val="Tahoma"/>
            <family val="2"/>
            <charset val="204"/>
          </rPr>
          <t>Камаева О.А.:</t>
        </r>
        <r>
          <rPr>
            <sz val="9"/>
            <color indexed="81"/>
            <rFont val="Tahoma"/>
            <family val="2"/>
            <charset val="204"/>
          </rPr>
          <t xml:space="preserve">
= 1613+1952
</t>
        </r>
      </text>
    </comment>
    <comment ref="E23" authorId="1">
      <text>
        <r>
          <rPr>
            <sz val="9"/>
            <color indexed="81"/>
            <rFont val="Tahoma"/>
            <family val="2"/>
            <charset val="204"/>
          </rPr>
          <t xml:space="preserve">Камаева: убрали на инженерно-геодезические изыскания 172500
</t>
        </r>
      </text>
    </comment>
    <comment ref="E25" authorId="1">
      <text>
        <r>
          <rPr>
            <sz val="9"/>
            <color indexed="81"/>
            <rFont val="Tahoma"/>
            <family val="2"/>
            <charset val="204"/>
          </rPr>
          <t xml:space="preserve">Камаева О.А. сняли на передачу материалов в орган кадастрового учета 50 000,0
</t>
        </r>
      </text>
    </comment>
    <comment ref="E26" authorId="1">
      <text>
        <r>
          <rPr>
            <sz val="9"/>
            <color indexed="81"/>
            <rFont val="Tahoma"/>
            <family val="2"/>
            <charset val="204"/>
          </rPr>
          <t xml:space="preserve">Камаева: на основании ППСО №133-ПП от 27.02.2014
сумма субсидий 99,7
</t>
        </r>
      </text>
    </comment>
    <comment ref="E34" authorId="0">
      <text>
        <r>
          <rPr>
            <b/>
            <sz val="9"/>
            <color indexed="81"/>
            <rFont val="Tahoma"/>
            <family val="2"/>
            <charset val="204"/>
          </rPr>
          <t>Камаева О.А.:</t>
        </r>
        <r>
          <rPr>
            <sz val="9"/>
            <color indexed="81"/>
            <rFont val="Tahoma"/>
            <family val="2"/>
            <charset val="204"/>
          </rPr>
          <t xml:space="preserve">
добавили</t>
        </r>
      </text>
    </comment>
    <comment ref="E40" authorId="0">
      <text>
        <r>
          <rPr>
            <b/>
            <sz val="9"/>
            <color indexed="81"/>
            <rFont val="Tahoma"/>
            <family val="2"/>
            <charset val="204"/>
          </rPr>
          <t>Камаева О.А.:</t>
        </r>
        <r>
          <rPr>
            <sz val="9"/>
            <color indexed="81"/>
            <rFont val="Tahoma"/>
            <family val="2"/>
            <charset val="204"/>
          </rPr>
          <t xml:space="preserve">
добавили</t>
        </r>
      </text>
    </comment>
    <comment ref="I66" authorId="1">
      <text>
        <r>
          <rPr>
            <b/>
            <sz val="9"/>
            <color indexed="81"/>
            <rFont val="Tahoma"/>
            <family val="2"/>
            <charset val="204"/>
          </rPr>
          <t>Архитектор:</t>
        </r>
        <r>
          <rPr>
            <sz val="9"/>
            <color indexed="81"/>
            <rFont val="Tahoma"/>
            <family val="2"/>
            <charset val="204"/>
          </rPr>
          <t xml:space="preserve">
-200</t>
        </r>
      </text>
    </comment>
    <comment ref="I70" authorId="1">
      <text>
        <r>
          <rPr>
            <b/>
            <sz val="9"/>
            <color indexed="81"/>
            <rFont val="Tahoma"/>
            <family val="2"/>
            <charset val="204"/>
          </rPr>
          <t>Архитектор:</t>
        </r>
        <r>
          <rPr>
            <sz val="9"/>
            <color indexed="81"/>
            <rFont val="Tahoma"/>
            <family val="2"/>
            <charset val="204"/>
          </rPr>
          <t xml:space="preserve">
-300</t>
        </r>
      </text>
    </comment>
    <comment ref="I71" authorId="1">
      <text>
        <r>
          <rPr>
            <b/>
            <sz val="9"/>
            <color indexed="81"/>
            <rFont val="Tahoma"/>
            <family val="2"/>
            <charset val="204"/>
          </rPr>
          <t>Архитектор:</t>
        </r>
        <r>
          <rPr>
            <sz val="9"/>
            <color indexed="81"/>
            <rFont val="Tahoma"/>
            <family val="2"/>
            <charset val="204"/>
          </rPr>
          <t xml:space="preserve">
-700</t>
        </r>
      </text>
    </comment>
    <comment ref="I72" authorId="1">
      <text>
        <r>
          <rPr>
            <b/>
            <sz val="9"/>
            <color indexed="81"/>
            <rFont val="Tahoma"/>
            <family val="2"/>
            <charset val="204"/>
          </rPr>
          <t>Архитектор:</t>
        </r>
        <r>
          <rPr>
            <sz val="9"/>
            <color indexed="81"/>
            <rFont val="Tahoma"/>
            <family val="2"/>
            <charset val="204"/>
          </rPr>
          <t xml:space="preserve">
-200</t>
        </r>
      </text>
    </comment>
  </commentList>
</comments>
</file>

<file path=xl/sharedStrings.xml><?xml version="1.0" encoding="utf-8"?>
<sst xmlns="http://schemas.openxmlformats.org/spreadsheetml/2006/main" count="770" uniqueCount="418">
  <si>
    <t>ЦЕЛИ, ЗАДАЧИ И ЦЕЛЕВЫЕ ПОКАЗАТЕЛИ</t>
  </si>
  <si>
    <t>реализации муниципальной программы «Реализация основных направлений государственной политики в</t>
  </si>
  <si>
    <t>Значение целевого показателя</t>
  </si>
  <si>
    <t>2014 год</t>
  </si>
  <si>
    <t>Подпрограмма 1 «Стимулирование развития жилищного строительства»</t>
  </si>
  <si>
    <t xml:space="preserve">Обеспеченность населения </t>
  </si>
  <si>
    <t>гектаров</t>
  </si>
  <si>
    <t xml:space="preserve">ввод объектов коммунальной инфраструктуры муниципальной собственности с использованием субсидий из областного бюджета  </t>
  </si>
  <si>
    <t>объектов</t>
  </si>
  <si>
    <t>Площадь территорий, для которых разработана документация по планировке территории</t>
  </si>
  <si>
    <t>Подпрограмма 2 «Развитие газификации»</t>
  </si>
  <si>
    <t>Цель 2–Обеспечение комфортных условий проживания населения на территории Асбестовского городского округа за счет предоставления возможности использования природного газа для предоставления коммунальных услуг надлежащего качества</t>
  </si>
  <si>
    <t>Задача 2.1.   Создание технической возможности для сетевого газоснабжения и развития газификации всех жилых районов  города Асбеста путем реализации мероприятий по строительству газопроводов–отводов высокого давления</t>
  </si>
  <si>
    <t>км</t>
  </si>
  <si>
    <t xml:space="preserve">Количество квартир в домах муни-ципального  жилищного фонда  Асбестовского городского округа, переведенных на природный газ  </t>
  </si>
  <si>
    <t>квартир</t>
  </si>
  <si>
    <t>процентов</t>
  </si>
  <si>
    <t>№ строки</t>
  </si>
  <si>
    <t>2015 год</t>
  </si>
  <si>
    <t>2016 год</t>
  </si>
  <si>
    <t>2017 год</t>
  </si>
  <si>
    <t>2018 год</t>
  </si>
  <si>
    <t>2019 год</t>
  </si>
  <si>
    <t>2020 год</t>
  </si>
  <si>
    <t xml:space="preserve">Наименование целей и задач, целевых показателй </t>
  </si>
  <si>
    <t>Единица измерения</t>
  </si>
  <si>
    <t>Источник  значения показателей</t>
  </si>
  <si>
    <t xml:space="preserve">Годовой объём ввода жилья и количество жилых единиц </t>
  </si>
  <si>
    <t>кв. метров общей площади на 1 жителя</t>
  </si>
  <si>
    <t>Площадь земельных участков, выделенных для массового жилищного строительства, обустроенных инженерной инфраструктурой</t>
  </si>
  <si>
    <t xml:space="preserve">ПЛАН МЕРОПРИЯТИЙ муниципальной программы </t>
  </si>
  <si>
    <t>«Реализация основных направлений государственной политики в строительном комплексе</t>
  </si>
  <si>
    <t>Асбестовского городского округа до 2020 года»</t>
  </si>
  <si>
    <t>Номер строки целей, задач, целевых показателей, на достижение которых направлены мероприятия</t>
  </si>
  <si>
    <t>Всего</t>
  </si>
  <si>
    <t>местный бюджет</t>
  </si>
  <si>
    <t>внебюджетные источники</t>
  </si>
  <si>
    <t>Капитальные вложения</t>
  </si>
  <si>
    <t>областной бюджет</t>
  </si>
  <si>
    <t>Прочие нужды</t>
  </si>
  <si>
    <t>ПОДПРОГРАММА 1 «Стимулирование развития жилищного строительства»</t>
  </si>
  <si>
    <r>
      <t>1.</t>
    </r>
    <r>
      <rPr>
        <b/>
        <sz val="7"/>
        <rFont val="Times New Roman"/>
        <family val="1"/>
        <charset val="204"/>
      </rPr>
      <t xml:space="preserve">       </t>
    </r>
    <r>
      <rPr>
        <b/>
        <sz val="10"/>
        <rFont val="Times New Roman"/>
        <family val="1"/>
        <charset val="204"/>
      </rPr>
      <t>Капитальные вложения</t>
    </r>
  </si>
  <si>
    <r>
      <t xml:space="preserve">Всего по направлению «Капитальные вложения», </t>
    </r>
    <r>
      <rPr>
        <sz val="10"/>
        <rFont val="Times New Roman"/>
        <family val="1"/>
        <charset val="204"/>
      </rPr>
      <t>в том числе:</t>
    </r>
  </si>
  <si>
    <t>1.1 Бюджетные инвестиции в объекты капитального строительства</t>
  </si>
  <si>
    <t>Строительство объектов коммунальной  инфраструктуры</t>
  </si>
  <si>
    <t>1.2.Иные капитальные вложения</t>
  </si>
  <si>
    <t>Строительство жилых домов на территории Асбестовского городского округа, всего</t>
  </si>
  <si>
    <r>
      <t>2.</t>
    </r>
    <r>
      <rPr>
        <b/>
        <sz val="7"/>
        <rFont val="Times New Roman"/>
        <family val="1"/>
        <charset val="204"/>
      </rPr>
      <t xml:space="preserve">       </t>
    </r>
    <r>
      <rPr>
        <b/>
        <sz val="10"/>
        <rFont val="Times New Roman"/>
        <family val="1"/>
        <charset val="204"/>
      </rPr>
      <t>Прочие нужды</t>
    </r>
  </si>
  <si>
    <t>Разработка проектно-сметной докумен-тации для строительства объектов коммунальной инфраструктуры</t>
  </si>
  <si>
    <t>ПОДПРОГРАММА 2 «Развитие газификации»</t>
  </si>
  <si>
    <t>1.Капитальные вложения</t>
  </si>
  <si>
    <r>
      <t xml:space="preserve">Всего по направлению «Капитальные вложения»,  </t>
    </r>
    <r>
      <rPr>
        <sz val="10"/>
        <rFont val="Times New Roman"/>
        <family val="1"/>
        <charset val="204"/>
      </rPr>
      <t>в том числе:</t>
    </r>
  </si>
  <si>
    <t>2.Прочие нужды</t>
  </si>
  <si>
    <t>Разработка проектно-сметной документации на строительство объектов газификации</t>
  </si>
  <si>
    <t>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</si>
  <si>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</si>
  <si>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               тыс. рублей</t>
  </si>
  <si>
    <r>
      <t xml:space="preserve">Бюджетные инвестиции в объекты капитального строительства, всего,                          </t>
    </r>
    <r>
      <rPr>
        <sz val="10"/>
        <rFont val="Times New Roman"/>
        <family val="1"/>
        <charset val="204"/>
      </rPr>
      <t>в том числе</t>
    </r>
  </si>
  <si>
    <t>Перечень объектов капитального строительства</t>
  </si>
  <si>
    <t>Источники финансирования</t>
  </si>
  <si>
    <t>Объемы финансирования, тыс. рублей</t>
  </si>
  <si>
    <t>всего</t>
  </si>
  <si>
    <t>год</t>
  </si>
  <si>
    <t>Жилой район малоэтажной застройки Больничного городка</t>
  </si>
  <si>
    <t>- продолжение незаконченного строительством 3-х этажного 42-квартирного жилого дома  по ул. Горького, 99– 2900 кв. м</t>
  </si>
  <si>
    <t>1.1.2</t>
  </si>
  <si>
    <t>- 3-х этажный 18-ти квартирный жилой дом  по</t>
  </si>
  <si>
    <t>пер. Пушкина, 27 - 1050 кв. м</t>
  </si>
  <si>
    <t>1.1.3</t>
  </si>
  <si>
    <t>ул. Крупской, 92/1 -1050 кв. м</t>
  </si>
  <si>
    <t>1.2</t>
  </si>
  <si>
    <t>Район «Заводской» многоэтажной застройки</t>
  </si>
  <si>
    <t>1.2.1</t>
  </si>
  <si>
    <t>- 9-этажный 106-квартирный жилой дом  в районе улиц Лесная-Советская–5650 кв. м</t>
  </si>
  <si>
    <t>1.2.2</t>
  </si>
  <si>
    <t>- два 3-этажных 36-квартирных жилых дома по ул. Чапаева, 43– 3580 кв. м</t>
  </si>
  <si>
    <t>1.2.3</t>
  </si>
  <si>
    <t xml:space="preserve">-9-ти этажный 136-квартирный жилой дом в районе </t>
  </si>
  <si>
    <t>ул. Щорса-Котовского – 7390 кв. м</t>
  </si>
  <si>
    <t>1.2.4</t>
  </si>
  <si>
    <t>- два 3-этажных 36-квартирных жилых дома в районе жилых домов №№ 50,54 по ул. Коминтерна – 3580 кв. 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</si>
  <si>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</si>
  <si>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</si>
  <si>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</si>
  <si>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</si>
  <si>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</si>
  <si>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</si>
  <si>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</si>
  <si>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</si>
  <si>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</si>
  <si>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</si>
  <si>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</si>
  <si>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1.3</t>
  </si>
  <si>
    <t xml:space="preserve">Район сблокированной застройки в границах улиц  Пионерская – Уральская – Ильина – Махнева. </t>
  </si>
  <si>
    <t>1.3.1</t>
  </si>
  <si>
    <t>- 4-х квартирный жилой дом сблокированной застройки по ул. Уральская, 39 -1000 кв.м</t>
  </si>
  <si>
    <t>1.3.2</t>
  </si>
  <si>
    <t>- 4-х квартирный жилой дом сблокированной застройки по ул. Уральская, 43 -500 кв. м</t>
  </si>
  <si>
    <t>1.3.3</t>
  </si>
  <si>
    <t>- 4-х квартирный жилой дом сблокированной застройки по ул. Уральская, 47 -500 кв. м</t>
  </si>
  <si>
    <t>1.3.4</t>
  </si>
  <si>
    <t>-8-и квартирный жилой дом сблокированной застройки в районе дома № 16 по ул. Пионерской – 950 кв. м</t>
  </si>
  <si>
    <t>1.4</t>
  </si>
  <si>
    <t>Район малоэтажной застройки 101 квартала</t>
  </si>
  <si>
    <t>1.4.1</t>
  </si>
  <si>
    <t xml:space="preserve">- два 3-х этажных 63-квартирных жилых дома-6200 кв. м    </t>
  </si>
  <si>
    <t>1.4.2</t>
  </si>
  <si>
    <t>- 3-х этажный 90-квартирный жилой дом  -4460 кв. м</t>
  </si>
  <si>
    <t>1.4.3</t>
  </si>
  <si>
    <t>- 3-х этажный 24-квартирный жилой дом – 1150 кв. м</t>
  </si>
  <si>
    <t>1.4.4</t>
  </si>
  <si>
    <t>- 3-х этажный 75-квартирный жилой дом  -3670 кв. м</t>
  </si>
  <si>
    <t>1.5</t>
  </si>
  <si>
    <t>Жилой район «Заречный»</t>
  </si>
  <si>
    <t>1.5.1</t>
  </si>
  <si>
    <r>
      <t>-</t>
    </r>
    <r>
      <rPr>
        <i/>
        <sz val="10"/>
        <color indexed="8"/>
        <rFont val="Times New Roman"/>
        <family val="1"/>
        <charset val="204"/>
      </rPr>
      <t>многоэтажные и среднеэтажные многоквартирные жилые дома</t>
    </r>
    <r>
      <rPr>
        <i/>
        <sz val="10"/>
        <rFont val="Times New Roman"/>
        <family val="1"/>
        <charset val="204"/>
      </rPr>
      <t>–</t>
    </r>
    <r>
      <rPr>
        <i/>
        <sz val="10"/>
        <color indexed="8"/>
        <rFont val="Times New Roman"/>
        <family val="1"/>
        <charset val="204"/>
      </rPr>
      <t>587160 кв. м</t>
    </r>
  </si>
  <si>
    <t>1.5.2</t>
  </si>
  <si>
    <r>
      <t xml:space="preserve">- </t>
    </r>
    <r>
      <rPr>
        <i/>
        <sz val="10"/>
        <color indexed="8"/>
        <rFont val="Times New Roman"/>
        <family val="1"/>
        <charset val="204"/>
      </rPr>
      <t>малоэтажные многоквартирные жилые дома – 49200 кв. м</t>
    </r>
  </si>
  <si>
    <t>1.5.3</t>
  </si>
  <si>
    <r>
      <t xml:space="preserve">- блокированные жилые дома </t>
    </r>
    <r>
      <rPr>
        <i/>
        <sz val="10"/>
        <rFont val="Times New Roman"/>
        <family val="1"/>
        <charset val="204"/>
      </rPr>
      <t>–</t>
    </r>
    <r>
      <rPr>
        <i/>
        <sz val="10"/>
        <color indexed="8"/>
        <rFont val="Times New Roman"/>
        <family val="1"/>
        <charset val="204"/>
      </rPr>
      <t>116160 кв. м</t>
    </r>
  </si>
  <si>
    <t>1.5.4</t>
  </si>
  <si>
    <t>- индивидуальные жилые дома – 129450 кв. м</t>
  </si>
  <si>
    <t>1.6</t>
  </si>
  <si>
    <t xml:space="preserve">                                                                                             Жилой район поселок Лесозавод</t>
  </si>
  <si>
    <t>1.6.1</t>
  </si>
  <si>
    <t>- четыре 2-этажных жилых дома - 1400 кв. м</t>
  </si>
  <si>
    <t>1.6.2</t>
  </si>
  <si>
    <t>- индивидуальные жилые дома – 16000 кв. м</t>
  </si>
  <si>
    <t>1.7</t>
  </si>
  <si>
    <t>Поселок Белокаменный</t>
  </si>
  <si>
    <t>1.7.1</t>
  </si>
  <si>
    <t>2.1</t>
  </si>
  <si>
    <t>2.1.2</t>
  </si>
  <si>
    <t>2.1.3</t>
  </si>
  <si>
    <t>2.1.4</t>
  </si>
  <si>
    <r>
      <t xml:space="preserve">Связь </t>
    </r>
    <r>
      <rPr>
        <sz val="10"/>
        <rFont val="Times New Roman"/>
        <family val="1"/>
        <charset val="204"/>
      </rPr>
      <t>(прокладка двухотверстной кабельной канализации протяженностью 19,1 м)</t>
    </r>
  </si>
  <si>
    <t>2.2</t>
  </si>
  <si>
    <t>- поселка «Белокаменный»</t>
  </si>
  <si>
    <t>2.2.1</t>
  </si>
  <si>
    <t>2.2.2</t>
  </si>
  <si>
    <t>2.2.4</t>
  </si>
  <si>
    <t>2.3</t>
  </si>
  <si>
    <t>Жилого района «Лесозавод»</t>
  </si>
  <si>
    <t>2.3.1</t>
  </si>
  <si>
    <t>Водоснабжение (строительство сетей водопровода – 1,0 км)</t>
  </si>
  <si>
    <t>2.3.2</t>
  </si>
  <si>
    <r>
      <t xml:space="preserve">Водоотведение </t>
    </r>
    <r>
      <rPr>
        <sz val="10"/>
        <rFont val="Times New Roman"/>
        <family val="1"/>
        <charset val="204"/>
      </rPr>
      <t>(строительство КНС,  сетей самотечной канализации-1,2 км, сетей напорной канализации- 0,6 км)</t>
    </r>
  </si>
  <si>
    <t>3.1</t>
  </si>
  <si>
    <t>Газопроводы высокого давления</t>
  </si>
  <si>
    <t>3.1.1</t>
  </si>
  <si>
    <t>3.1.2</t>
  </si>
  <si>
    <t>3.1.3</t>
  </si>
  <si>
    <t>3.1.4</t>
  </si>
  <si>
    <t>3.2</t>
  </si>
  <si>
    <t>Газопроводы низкого давления</t>
  </si>
  <si>
    <t>3.2.1</t>
  </si>
  <si>
    <t>3.2.2</t>
  </si>
  <si>
    <t>3.2.3</t>
  </si>
  <si>
    <t>3.2.4</t>
  </si>
  <si>
    <t>3.2.5</t>
  </si>
  <si>
    <t>3.2.6</t>
  </si>
  <si>
    <t>3.2.7</t>
  </si>
  <si>
    <t>Газификация объектов социальной и жилищно-коммунальной сферы</t>
  </si>
  <si>
    <t xml:space="preserve">для инвестиций в рамках муниципальной программы «Реализация основных направлений государственной политики </t>
  </si>
  <si>
    <t>в строительном комплексе Асбестовского городского округа до 2020 года»</t>
  </si>
  <si>
    <t>№ стро ки</t>
  </si>
  <si>
    <t>Наименование объекта капитального строительства, адрес нахождения</t>
  </si>
  <si>
    <t>1.1.</t>
  </si>
  <si>
    <t>1.1.1.</t>
  </si>
  <si>
    <t>строительном комплексе Асбестовского городского округа до 2020 года»</t>
  </si>
  <si>
    <t>Уровень газификации территории Асбестовского городского округа природным газом</t>
  </si>
  <si>
    <t>на строительство объектов капитального строительства в рамках муниципальной программы «Реализация основных направлений государственной политики в строительном комплексе Асбестовского городского округа до 2020 года»</t>
  </si>
  <si>
    <t xml:space="preserve"> строки</t>
  </si>
  <si>
    <t>Наименование мероприятий</t>
  </si>
  <si>
    <t xml:space="preserve">Источники финансирования </t>
  </si>
  <si>
    <t>Разработка документации  по планировке территорий  Асбестовского  городского округа</t>
  </si>
  <si>
    <t>ПП  части жилого района  «Центральный» в границах улиц:- ул. Серова - ул. Некрасова- ул. 8Марта</t>
  </si>
  <si>
    <t>ул. Садовая;</t>
  </si>
  <si>
    <t>- ул. Мира (продолжение) ул. Лермонтова - ул. Королева - ул. Некрасова;</t>
  </si>
  <si>
    <t>- ул. Махнева - ул. Уральская - ул. Калинина</t>
  </si>
  <si>
    <t xml:space="preserve">ПП жилого района  «Черемша» </t>
  </si>
  <si>
    <t>в районе  ул. Береговой - пер. Лесной</t>
  </si>
  <si>
    <t>Разработка проекта планировки поселка Белокаменный Асбестовского городского округа</t>
  </si>
  <si>
    <t>Разработка проекта планировки поселка Красноармейский Асбестовского городского округа</t>
  </si>
  <si>
    <t>Разработка проектов планировки территории коллективных садов для перевода под индивидуальную жилую застройку;</t>
  </si>
  <si>
    <t>Подготовка вспомогательных материалов для разработки документов территориального планирования и документов по планировке территорий (инженерно-геодезические изыскания,  подготовка картографического материала)</t>
  </si>
  <si>
    <t xml:space="preserve">Газопровод высокого давления до   поселков Ново-Окунево и Старо-Окунево,  г. Асбест </t>
  </si>
  <si>
    <t xml:space="preserve">Газопровод высокого давления до п. Папанинцев, г. Асбест  </t>
  </si>
  <si>
    <t>Распределительный газопровод низкого давления к жилым домам п. Красноармейский</t>
  </si>
  <si>
    <t xml:space="preserve">Распределительный газопровод  к  жилым домам </t>
  </si>
  <si>
    <t xml:space="preserve"> п. Белокаменный</t>
  </si>
  <si>
    <t>Распределительный газопровод низкого давления к жилым домам п. Папанинцев</t>
  </si>
  <si>
    <t>Распределительный газопровод низкого давления в районе Перевалочная база</t>
  </si>
  <si>
    <t>Распределительный газопровод низкого давления  к жилым домам поселков  Лесозавод, Ново-Кирпичный</t>
  </si>
  <si>
    <t>Распределительный газопровод низкого давления  к жилым домам поселка Старо-Кирпичный</t>
  </si>
  <si>
    <t>3.3</t>
  </si>
  <si>
    <t>3.3.1</t>
  </si>
  <si>
    <t>Внутреннее газоснабжение квартир в домах муниципального жилищного фонда Асбестовского городского округа</t>
  </si>
  <si>
    <t>1.1 г.Асбеста</t>
  </si>
  <si>
    <t>1.2 пос. Белокаменный</t>
  </si>
  <si>
    <t>1.3 пос. Красноармейский</t>
  </si>
  <si>
    <t>1.8</t>
  </si>
  <si>
    <t>Разработка проекта городской черты</t>
  </si>
  <si>
    <t xml:space="preserve">Количество социальных объектов Асбестовского городского округа, переведенных на природный газ  </t>
  </si>
  <si>
    <t>Разработка  проектно-сметной документации  для объектов газоснабжения Асбестовского городского округа, в том числе:</t>
  </si>
  <si>
    <t>п.10 приложения №1</t>
  </si>
  <si>
    <t>п.8 приложения №1</t>
  </si>
  <si>
    <t>1.  Определение координат границ Асбестовского городского округа, в части:</t>
  </si>
  <si>
    <t>2.  Подготовка информации для передачи в орган кадастрового учета в порядке информационного взаимодействия</t>
  </si>
  <si>
    <t>Цель 1 - обеспечение населения Асбестовского городского округа доступным и комфортным жильем путем реализации механизмов поддержки и развития жилищного строительства и стимулирования спроса на рынке жилья</t>
  </si>
  <si>
    <t xml:space="preserve">Задача 1.2 - создание условий для комплексного освоения земельных участков жилого района "Заречный" и района индивидуальной застройки поселка Белокаменный путем обеспечения этих земельных участков объектами коммунальной инфраструктуры </t>
  </si>
  <si>
    <t>Задача 1.3 - обеспечение документацией по планировке территории Асбестовского городского округа в целях развития жилищно-гражданского строительства</t>
  </si>
  <si>
    <t xml:space="preserve"> ул. Мира (продолжение)- ул. Некрасова - ул. Речная –</t>
  </si>
  <si>
    <t xml:space="preserve"> в районе старых очистных сооружений;</t>
  </si>
  <si>
    <t>Подготовка графических и текстовых материалов для внесения изменений в правила землепользования и застройки Асбестовского городского округа</t>
  </si>
  <si>
    <t>ул.Крупская 4250,0</t>
  </si>
  <si>
    <t>микрорайон "Заречный"</t>
  </si>
  <si>
    <t>Строительство объектов коммунальной инфраструктуры  к земельным участкам, предназначенным для  массового жилищного строительства,                   в том числе</t>
  </si>
  <si>
    <t>Форма собственности</t>
  </si>
  <si>
    <t>Сроки строительства</t>
  </si>
  <si>
    <t xml:space="preserve">Муниципальная </t>
  </si>
  <si>
    <t>ЧАСТНАЯ</t>
  </si>
  <si>
    <t>Строительство расчитано на период до 2020 года</t>
  </si>
  <si>
    <t>Сметная стоиомсть определена исходя из проектов аналогов</t>
  </si>
  <si>
    <t xml:space="preserve">Водоснабжение (строительство насосной станции, водоводов общей протяженностью 10,6км, двух резервуаров емкостью 1000 куб. м каждый)                                                     </t>
  </si>
  <si>
    <r>
      <t xml:space="preserve">Теплоснабжение </t>
    </r>
    <r>
      <rPr>
        <sz val="10"/>
        <rFont val="Times New Roman"/>
        <family val="1"/>
        <charset val="204"/>
      </rPr>
      <t xml:space="preserve">(строительство трех блочных котельных с подающими теплопроводами, крышных котельных) </t>
    </r>
  </si>
  <si>
    <t>Сметная стоимость объекта, тыс.руб. в текущих / ценах соответствующих лет тыс.руб.</t>
  </si>
  <si>
    <r>
      <t xml:space="preserve">Электроснабжение </t>
    </r>
    <r>
      <rPr>
        <sz val="10"/>
        <rFont val="Times New Roman"/>
        <family val="1"/>
        <charset val="204"/>
      </rPr>
      <t xml:space="preserve">(строительство электроподстанции «Городская» с РУ 10кВ, ВЛ-110 кВ протяженностью 1,44 км) </t>
    </r>
  </si>
  <si>
    <r>
      <t>Водоснабжение</t>
    </r>
    <r>
      <rPr>
        <sz val="10"/>
        <rFont val="Times New Roman"/>
        <family val="1"/>
        <charset val="204"/>
      </rPr>
      <t>(устройство новых скважин, строительство насосной станции, водовода)</t>
    </r>
  </si>
  <si>
    <r>
      <t xml:space="preserve">Водоотведение </t>
    </r>
    <r>
      <rPr>
        <sz val="10"/>
        <rFont val="Times New Roman"/>
        <family val="1"/>
        <charset val="204"/>
      </rPr>
      <t xml:space="preserve">(прокладка новых самотечных коллекторов  и напорного участка  с установкой напорной насосной станции, станции очистки) </t>
    </r>
  </si>
  <si>
    <r>
      <t xml:space="preserve">Электроснабжение </t>
    </r>
    <r>
      <rPr>
        <sz val="10"/>
        <rFont val="Times New Roman"/>
        <family val="1"/>
        <charset val="204"/>
      </rPr>
      <t xml:space="preserve">(установка двух КТПН, строительство электросетей) </t>
    </r>
  </si>
  <si>
    <t xml:space="preserve">Газопровод высокого давления до поселка  Старо-Кирпичный (1 км)  </t>
  </si>
  <si>
    <t xml:space="preserve">Распределительный газопровод низкого давления к жилым домам п. Красноармейский (2 км) </t>
  </si>
  <si>
    <t xml:space="preserve">Распределительный газопровод  к  жилым домам  п. Белокаменный (3,0 км) </t>
  </si>
  <si>
    <t xml:space="preserve">Распределительный газопровод к жилым домам п. Ново-Окунево, Старо-Окунево (3,0 км) </t>
  </si>
  <si>
    <t xml:space="preserve">Распределительный газопровод низкого давления  к жилым домам поселков  Лесозавод, Ново-Кирпичный (2,5 км) </t>
  </si>
  <si>
    <t xml:space="preserve">Распределительный газопровод  низкого давления  к жилым домам поселка Старо-Кирпичный (1,5 км) </t>
  </si>
  <si>
    <t>Газопровод низкого давления микрорайона «Заречный» в г. Асбесте. 2 очередь строительства (2,741 км)       Освоено на 01.01.2014 3221,0 тыс.руб</t>
  </si>
  <si>
    <t>Техническое перевооружение системы теплоснабжения детского загородного лагеря "Заря" в пос. Белокаменный, г. Асбест, Свердловской обл. (перевод котельной на природный газ)</t>
  </si>
  <si>
    <t>Адрес нахождения</t>
  </si>
  <si>
    <t>Жилой район Больничный городок, г.Асбет</t>
  </si>
  <si>
    <t>г.Асбест, район "Заводской"</t>
  </si>
  <si>
    <t>г.Асбест, ул.Пионерская, Уральская, Ильина, Махнева</t>
  </si>
  <si>
    <t>101 кавртал, г.Асбест</t>
  </si>
  <si>
    <t>жилой район Заречный, г.Асбет</t>
  </si>
  <si>
    <t>жилой район Лесозавод , г.Асбест</t>
  </si>
  <si>
    <t>г.Асбест, пос.Белокаменный</t>
  </si>
  <si>
    <t xml:space="preserve"> Ново-Окунево  и Старо-Окунево , г.Асбест</t>
  </si>
  <si>
    <t>п. Папанинцев, г.Асбест</t>
  </si>
  <si>
    <t>Лесозавод, Ново-Окунево, г.Асбест</t>
  </si>
  <si>
    <t>Старо-Кирпичный, г.Асбест</t>
  </si>
  <si>
    <t>пос.Красноармейский, г.Асбест</t>
  </si>
  <si>
    <t>г.Асбест, Больничный городок</t>
  </si>
  <si>
    <t>пос.Белокаменный, г.Асбест</t>
  </si>
  <si>
    <t>п.Папанинцев, г.Асбест</t>
  </si>
  <si>
    <t>Перевалочная база, г.Асбест</t>
  </si>
  <si>
    <t>Ново-Окунево, Старо-Окунево, г.Асбест</t>
  </si>
  <si>
    <t>Левозавод, Ново-Кирпичный, г.Асбест</t>
  </si>
  <si>
    <t>101 квартал, г.Асбест</t>
  </si>
  <si>
    <t>г.Асбест, жил.район Заречный</t>
  </si>
  <si>
    <t>г.Асбест, п.Черемша</t>
  </si>
  <si>
    <t>г.Асбест</t>
  </si>
  <si>
    <t>Сроки строительства расчитаны до 2017г.</t>
  </si>
  <si>
    <t>Строительство расчитано сроком на 2 года</t>
  </si>
  <si>
    <t>Строительство расчитано сроком на 1 год</t>
  </si>
  <si>
    <t xml:space="preserve">Жилищное строительство, тыс.руб.  </t>
  </si>
  <si>
    <t>Стоимость строительства определена исходя из стоимости 1 кв.м. жилья</t>
  </si>
  <si>
    <t>Строительство расчитано сроком на 9 месяцев</t>
  </si>
  <si>
    <t>Строительство расчитано сроком на 7 месяцев</t>
  </si>
  <si>
    <t>Сроки строительства расчитаны на 9 месяцев</t>
  </si>
  <si>
    <t>Сроки строительства расчитаны на период до 2019 года</t>
  </si>
  <si>
    <t>Строительство расчитано сроком на 4 года</t>
  </si>
  <si>
    <t>Строительство расчитано на 1 год</t>
  </si>
  <si>
    <t>1.1</t>
  </si>
  <si>
    <t>1.1.1</t>
  </si>
  <si>
    <t>1.1.4</t>
  </si>
  <si>
    <t>1.1.5</t>
  </si>
  <si>
    <t>2.1.1</t>
  </si>
  <si>
    <t>2.2.3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</si>
  <si>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</si>
  <si>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</si>
  <si>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</si>
  <si>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</si>
  <si>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</si>
  <si>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</si>
  <si>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</si>
  <si>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</si>
  <si>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</si>
  <si>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</si>
  <si>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</si>
  <si>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2.3.</t>
  </si>
  <si>
    <t>1.9</t>
  </si>
  <si>
    <t>Инженерно-геодезические изыскания (приведение в соответствие с проектом планировки существующей застройки) микрорайон Заречный</t>
  </si>
  <si>
    <t xml:space="preserve">Участки распределительных газопроводов низкого давления в разных районах города: пос. Черемша, ул. Труда, ул. Заводская, ул. Рефтинская, пер. Физкультурников и другие (1,5 км) </t>
  </si>
  <si>
    <t>2.4</t>
  </si>
  <si>
    <t>2.4.1</t>
  </si>
  <si>
    <t>2.4.2</t>
  </si>
  <si>
    <t>2.4.3</t>
  </si>
  <si>
    <t xml:space="preserve">ПОДПРОГРАММА 2 "РАЗВИТИЕ  ГАЗИФИКАЦИИ"                                                                                           2.1 Капитальные вложения     </t>
  </si>
  <si>
    <t xml:space="preserve">ПОДПРОГРАММА 1 "СТИМУЛИРОВАНИЕ РАЗВИТИЯ ЖИЛИЩНОГО СТРОИТЕЛЬСТВА"                                                                                           1.1 Капитальные вложения     </t>
  </si>
  <si>
    <t>Сметная стоимость определена исходя из проектов аналогов</t>
  </si>
  <si>
    <t xml:space="preserve">ПОДПРОГРАММА 1 "СТИМУЛИРОВАНИЕ РАЗВИТИЯ ЖИЛИЩНОГО СТРОИТЕЛЬСТВА"                                                             1.2 Прочие нужды                     </t>
  </si>
  <si>
    <t xml:space="preserve">ПОДПРОГРАММА 2 " РАЗВИТИЕ ГАЗИФИКАЦИИ"                                                           2.2 Прочие нужды                             </t>
  </si>
  <si>
    <t>Перечень мероприятий по разработке проектов планировки территорий, проектно-сметной документации</t>
  </si>
  <si>
    <t xml:space="preserve">ПОДПРОГРАММА 2 "РАЗВИТИЕ  ГАЗИФИКАЦИИ"                                                                                                                                                                    2.2 Прочие нужды     </t>
  </si>
  <si>
    <t>п.13,15,17 приложения №1</t>
  </si>
  <si>
    <t>п.13,15,17  приложения №1</t>
  </si>
  <si>
    <t>Разработка схемы проекта планировки жилого района северо-восточной части территории п.Белокаменный (существующая застройка)</t>
  </si>
  <si>
    <t>2.4.4</t>
  </si>
  <si>
    <t>2.4.5</t>
  </si>
  <si>
    <t>2.4.6</t>
  </si>
  <si>
    <t>На основании договоров с  поставщиками услуг Прейскурант цен организации (приказ № 556 от 25.12.2014г. ОАО "Газпром газо-распределе-ние "Екате-ринбург</t>
  </si>
  <si>
    <t>Повторные испытания газопровода на объекте "Распределительный газопровод низкого давления  в пос. 101 кв. г.Асбест"</t>
  </si>
  <si>
    <t>На основании договоров с  поставщиками услуг Прейскурант цен организации (приказ № 556 от 25.12.2014г. ОАО "Газпром газораспределе-ние "Екатеринбург</t>
  </si>
  <si>
    <t>Пуско-наладочные работы ГРПШ на объекте "Техническое перевооружение системы теплоснабжения МАУ ДЗОЛ "Заря"</t>
  </si>
  <si>
    <t>2.4.7</t>
  </si>
  <si>
    <t xml:space="preserve">На основании договоров с  поставщиками услуг                 Цена утверждена ФСТ России </t>
  </si>
  <si>
    <t>Поставка и транспортировка газа для проведения пуско-наладочных работ на объекте "Техническое перевооружение системы теплоснабжения ДЗОЛ "Заря"</t>
  </si>
  <si>
    <t>2.4.8</t>
  </si>
  <si>
    <t xml:space="preserve">На основании договоров с  поставщиками услуг Прейскурант цен организации </t>
  </si>
  <si>
    <t>Восстановление газопровода низкого давления на объекте "Распределительный газопровод низкого давления  в пос. 101 кв. г.Асбест"</t>
  </si>
  <si>
    <t>2.4.9</t>
  </si>
  <si>
    <t xml:space="preserve">На основании договоров с  поставщиками  услуг Прейскурант цен организации </t>
  </si>
  <si>
    <r>
      <rPr>
        <b/>
        <i/>
        <sz val="10"/>
        <rFont val="Times New Roman"/>
        <family val="1"/>
        <charset val="204"/>
      </rPr>
      <t>Подготовка материалов для постановки на кадастровый учет,  в том числе:</t>
    </r>
    <r>
      <rPr>
        <b/>
        <sz val="10"/>
        <rFont val="Times New Roman"/>
        <family val="1"/>
        <charset val="204"/>
      </rPr>
      <t xml:space="preserve">                                             </t>
    </r>
  </si>
  <si>
    <t>жилой район "Заречный"</t>
  </si>
  <si>
    <t>Разработка карта (плана)  городской черты г.Асбеста (с целью постановки на кадастровый учет)</t>
  </si>
  <si>
    <t>Разработка границ водоохранных зон  в границах Асбестовского городского округа</t>
  </si>
  <si>
    <t>Разработка акта  натурального технического обследования лесных площадей  на территории Асбестовского городского округа (пос.Белокаменный, г.Асбест)</t>
  </si>
  <si>
    <t>3.1.5</t>
  </si>
  <si>
    <t>3.1.6</t>
  </si>
  <si>
    <t>Газопровод высокого давления до жилой застройки северо-восточной части пос. Белокаменный</t>
  </si>
  <si>
    <t xml:space="preserve">Внутреннее газоснабжение квартир в домах муниципального жилищного фонда Асбестовского городского округа </t>
  </si>
  <si>
    <t xml:space="preserve">Врезка и пуск объектов газоснабжения     ( с целью ввода объектов газоснабжения в эксплуатацию) в домах муниципального жилищного фонда Асбестовского городского округа                                    -Калинина 5/2                                             -Калинина 7/2                                         </t>
  </si>
  <si>
    <t xml:space="preserve">Проведение строительного контроля за строительство наружного газопровода низкого давления ( с целью ввода объектов газификации в эксплуатацию) -      в домах муниципального жилищного фонда Асбестовского городского округа                                    -Калинина 5/2                                             -Калинина 7/2                                         </t>
  </si>
  <si>
    <t>Формирование земельного участка для строительства объектов газификации "газопровод высокого давления до пос. Ново-Окунево, Старо-Окунево</t>
  </si>
  <si>
    <t>Формирование земельного участка для строительства объектов газификации "газопровод высокого давления до пос. Старо-Кирпичный</t>
  </si>
  <si>
    <t xml:space="preserve">Техническое обследование объекта газификации "Расширение газораспределительной сети по улицам Восточная, З. Космодемьянской, Луговая, Больничная, Луговая, Нагорная, Н. Островского, Обогатителей, О.Кошевого, Папанина, Парковая, П. Морозова,   Пушкина, Северная, Забойщиков, пер. Северный в г. Асбест Свердловской области </t>
  </si>
  <si>
    <t xml:space="preserve">Врезка и пуск объектов газоснабжения     ( с целью ввода объектов газоснабжения в эксплуатацию)                                           Расширение газораспределительной сети по улицам Восточная, З. Космодемьянской, Луговая, Больничная, Луговая, Нагорная, Н. Островского, Обогатителей, О.Кошевого, Папанина, Парковая, П. Морозова,   Пушкина, Северная, Забойщиков, пер. Северный в г. Асбест Свердловской области </t>
  </si>
  <si>
    <t>Инвентаризационно-техниченские работы (с целью регистрации объектов газоснабжения)                                -  Расширение газораспределительной сети по улицам Восточная, З. Космодемьянской, Луговая, Больничная, Луговая, Нагорная, Н. Островского, Обогатителей, О.Кошевого..........</t>
  </si>
  <si>
    <t>Проведение строительного контроля за строительство наружного газопровода низкого давления ( с целью ввода объектов газификации в эксплуатацию) -                                                                        Расширение газораспределительной сети по улицам Восточная, З. Космодемьянской, Луговая, Больничная, Луговая, Нагорная, Н. Островского, Обогатителей, О.Кошевого .......</t>
  </si>
  <si>
    <t>Техническое обслуживание и аварийное прикрытие объектов газификации ( с целью ввода объектов газификации в эксплуатацию) -                                                                        Расширение газораспределительной сети по улицам Восточная, З. Космодемьянской, Луговая, Больничная, Луговая, Нагорная, Н. Островского, Обогатителей, О.Кошевого......</t>
  </si>
  <si>
    <t xml:space="preserve">Врезка и пуск объектов газоснабжения     ( с целью ввода объектов газоснабжения в эксплуатацию) Участки распределительных газопроводов низкого давления в разных районах города:                        -Строителей                                            -Сурикова                              </t>
  </si>
  <si>
    <t>Распределительный газопровод низкого давления  к жилым домам п. Ново-Окунево и Старо-Окунево</t>
  </si>
  <si>
    <t xml:space="preserve"> кв. метров </t>
  </si>
  <si>
    <t xml:space="preserve">                                                                                                                                              к муниципальной  программе «Реализация основных направлений </t>
  </si>
  <si>
    <t xml:space="preserve">                                                        Приложение № 1</t>
  </si>
  <si>
    <t xml:space="preserve">                                                                                                                        государственной политики в строительном комплексе </t>
  </si>
  <si>
    <t xml:space="preserve">                                                                                                                                                                                   к муниципальной  программе «Реализация основных направлений </t>
  </si>
  <si>
    <t xml:space="preserve">                                                                                              Приложение № 2</t>
  </si>
  <si>
    <t xml:space="preserve">                                                                                                                                                              государственной политики в строительном комплексе </t>
  </si>
  <si>
    <t xml:space="preserve">                                                                                                                                                Асбестовского  городского округа до 2020 года»</t>
  </si>
  <si>
    <r>
      <t xml:space="preserve">Водоотведение </t>
    </r>
    <r>
      <rPr>
        <sz val="10"/>
        <rFont val="Times New Roman"/>
        <family val="1"/>
        <charset val="204"/>
      </rPr>
      <t xml:space="preserve">(строительство двух насосных станций перекачки, коллекторов общей протяженностью 5,46 км) </t>
    </r>
  </si>
  <si>
    <t xml:space="preserve">                                                                                                                                                                                                  к муниципальной  программе «Реализация основных направлений </t>
  </si>
  <si>
    <t xml:space="preserve">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</si>
  <si>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                                                                                Асбестовского  городского округа до 2020 года»</t>
  </si>
  <si>
    <t xml:space="preserve">                                                                                                                                                                                государственной политики в строительном комплексе </t>
  </si>
  <si>
    <t xml:space="preserve">                                                                                     Асбестовского  городского округа до 2020 года»</t>
  </si>
  <si>
    <t>Задача 1.1 - обеспечение ежегодного роста объемов ввода жилья,  в том числе жилья экономкласса, в том числе малоэтажного</t>
  </si>
  <si>
    <t xml:space="preserve">                                                                                                           Асбестовского  городского округа до 2020 года»</t>
  </si>
  <si>
    <t>Строительство газопроводов высокого давления</t>
  </si>
  <si>
    <t>Задача 2.3 Газификация объектов жилищно-коммунальной сферы путем реализации мероприятий по переводу на природный газ муниципальных жилых домов Асбестовского городского округа и объектов социальной сферы Асбестовского городского округа</t>
  </si>
  <si>
    <t>Подготовка графического материала по анализу использования земельных участков на территории города Асбеста</t>
  </si>
  <si>
    <r>
      <t xml:space="preserve">Разработка  проектно-сметной документации  для строительства объектов коммунальной инфра-структуры на земельных участках, предназначенных для жилищного строительства, </t>
    </r>
    <r>
      <rPr>
        <sz val="11"/>
        <rFont val="Times New Roman"/>
        <family val="1"/>
        <charset val="204"/>
      </rPr>
      <t>в том числе:</t>
    </r>
  </si>
  <si>
    <t>поселок Белокаменный</t>
  </si>
  <si>
    <t>жилой район "Лесозавод"</t>
  </si>
  <si>
    <t>Газопровод высокого давления до поселка Старо-Кирпичный</t>
  </si>
  <si>
    <t>жилой район Заречный, г.Асбест</t>
  </si>
  <si>
    <t>Строительство планируется завершить в течение 1 года</t>
  </si>
  <si>
    <t>Строительство планируется сроком на 3 года</t>
  </si>
  <si>
    <t>Строительство планируется сроком на 4 года</t>
  </si>
  <si>
    <r>
      <t xml:space="preserve">Газоснабжение </t>
    </r>
    <r>
      <rPr>
        <sz val="10"/>
        <rFont val="Times New Roman"/>
        <family val="1"/>
        <charset val="204"/>
      </rPr>
      <t>(строительство двух ГРПБ, газопровода высокого давления протяженность 1,26 км)</t>
    </r>
  </si>
  <si>
    <r>
      <t xml:space="preserve">Строительство  объектов газоснабжения Асбестовского городского округа, всего,               </t>
    </r>
    <r>
      <rPr>
        <sz val="11"/>
        <rFont val="Times New Roman"/>
        <family val="1"/>
        <charset val="204"/>
      </rPr>
      <t>в том числе</t>
    </r>
  </si>
  <si>
    <t xml:space="preserve">Газопровод высокого давления до п. Папанинцев (4 км) </t>
  </si>
  <si>
    <t xml:space="preserve">Газопровод высокого давления до поселков Ново-Окунево  и Старо-Окунево (6 км)  </t>
  </si>
  <si>
    <t>Согласно проекту строительство расчитано сроком на 6 месяцев</t>
  </si>
  <si>
    <t>Расширение газораспределительной сети по улицам Восточная, З. Космодемьянской, Луговая, Больничная, Луговая, Нагорная, Н. Островского, Обогатителей, О.Кошевого, Папанина, Парковая,           П. Морозова,   Пушкина, Северная, Забойщиков, пер. Северный в г. Асбест Свердловской области (2,8 км)</t>
  </si>
  <si>
    <t>Распределительный газопровод низкого давления к жилым домам п. Папанинцев (8,0 км)</t>
  </si>
  <si>
    <t xml:space="preserve">Распределительный газопровод низкого давления в районе Перевалочная база       (1,0 км) </t>
  </si>
  <si>
    <t>Распределительный газопровод низкого давления в п. 101 квартал г. Асбест. 2- очередь.</t>
  </si>
  <si>
    <t xml:space="preserve">Расширение сети наружных газопроводов низкого давления по ул. Дачная, Больничная, Пушкина, Крупской, Северная, Горького, пер. Больничный, пер. Пушкина жилого района «Больничный городок» г. Асбест </t>
  </si>
  <si>
    <t>Расширение сети наружных газопроводов низкого давления  по ул. Нагорная от ж.д. №11 до ж.д. № 24, ул. Северная от ж.д.  № 30 до ж.д. № 51а, ул. Забойщиков от ж.д. № 5 до ж.д. № 20, от ж.д. № 29  к ж.д. № 32, ул. Луговая от ж.д. № 6 до ж.д. № 18 (четная сторона), к ж.д. № 5, 7, 9, ул. Крупской  к ж.д. № 64, 66 жилого района «Больничный городок» г. Асбест Свердловской области</t>
  </si>
  <si>
    <t>Работы, связанные с вводом объектов газоснабжения в эксплуатацию</t>
  </si>
  <si>
    <r>
      <t xml:space="preserve">ВСЕГО  ПО     МУНИЦИПАЛЬНОЙ ПРОГРАММЕ :                                           </t>
    </r>
    <r>
      <rPr>
        <sz val="11"/>
        <rFont val="Times New Roman"/>
        <family val="1"/>
        <charset val="204"/>
      </rPr>
      <t xml:space="preserve"> в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том числе</t>
    </r>
  </si>
  <si>
    <r>
      <t xml:space="preserve">ВСЕГО ПО ПОДПРОГРАММЕ 1,               </t>
    </r>
    <r>
      <rPr>
        <sz val="11"/>
        <rFont val="Times New Roman"/>
        <family val="1"/>
        <charset val="204"/>
      </rPr>
      <t>в том числе</t>
    </r>
  </si>
  <si>
    <t>Бюджетные инвестиции в объекты капитального строительства, всего,                               в том числе</t>
  </si>
  <si>
    <r>
      <t xml:space="preserve">Всего по направлению "Прочие нужды",         </t>
    </r>
    <r>
      <rPr>
        <sz val="10"/>
        <rFont val="Times New Roman"/>
        <family val="1"/>
        <charset val="204"/>
      </rPr>
      <t>в том числе</t>
    </r>
  </si>
  <si>
    <t>Разработка документации по планировке территории, всего, из них:</t>
  </si>
  <si>
    <r>
      <t xml:space="preserve">ВСЕГО ПО ПОДПРОГРАММЕ 2,           </t>
    </r>
    <r>
      <rPr>
        <sz val="11"/>
        <rFont val="Times New Roman"/>
        <family val="1"/>
        <charset val="204"/>
      </rPr>
      <t>в том числе</t>
    </r>
  </si>
  <si>
    <r>
      <t xml:space="preserve">Всего по направлению "Прочие нужды",                                  </t>
    </r>
    <r>
      <rPr>
        <sz val="10"/>
        <rFont val="Times New Roman"/>
        <family val="1"/>
        <charset val="204"/>
      </rPr>
      <t>в том числе:</t>
    </r>
  </si>
  <si>
    <t>Мероприятия, необходимые для ввода объектов газификации в эксплуатацию</t>
  </si>
  <si>
    <t>п.13, п.15, п.17 , п.19, п.18 приложения №1</t>
  </si>
  <si>
    <t>постановление Правительства Свердловской области от 24.10.2013 №1296-ПП</t>
  </si>
  <si>
    <t>решение Думы АГО от 24.12.2009 № 31/2«О  стратегии  социально - экономического  развития  АГО  на период  до 2020 года»</t>
  </si>
  <si>
    <t>решение Думы АГО от 25.12.2012 № 16/16 «Об утверждении Генерального плана Асбестовского городского округа"</t>
  </si>
  <si>
    <t>приказ Министерства строительства и развития инфраструктуры  Свердловской области от 20.06.2013 № 1-П</t>
  </si>
  <si>
    <t>постановление Правительства Свердловской области от  08.08.2012  №858-ПП "Об основных параметрах развития газоснабжения и газификации Свердловской области, генеральной схемы газоснабжения и газификации Свердловской области на период до 2020 года"</t>
  </si>
  <si>
    <t>Задача 2.2. Создание условий для газификации объектов жилищно-коммунальной сферы и обеспечения надежности системы газоснабжения путем реализации мероприятий по строительству распределительных газопроводов и газовых сетей внутри населенных пунктов Асбестовского городского округа</t>
  </si>
  <si>
    <t>Строительство распределительных газопроводов низкого давления</t>
  </si>
  <si>
    <t>Разработка модуля "Границы  территориальных зон"  в составе муниципальной геоинформационной системы  Асбестовского городского округа</t>
  </si>
  <si>
    <t>Обрудование рабочего места для работы со стереомоделями (включает поставку стереомонитора SMI)</t>
  </si>
  <si>
    <t>1.1.6</t>
  </si>
  <si>
    <t>Строительство автодороги до существующей индивидуальной застройки жилого района "Заречный" в г. Асбест</t>
  </si>
  <si>
    <t xml:space="preserve">Сметная стоимость определена на основании проекта </t>
  </si>
  <si>
    <t>Работы планируется завершить в течении 1 месяца</t>
  </si>
  <si>
    <t xml:space="preserve">                                                                                              государственной политики в строительном комплексе </t>
  </si>
  <si>
    <t xml:space="preserve">                                                                                                                   к муниципальной  программе «Реализация основных направлений </t>
  </si>
  <si>
    <t xml:space="preserve">                            Приложение № 4</t>
  </si>
  <si>
    <t xml:space="preserve">Годовое размещение ПО, сопровождение базы данных на внешнем серверном оборудовании </t>
  </si>
  <si>
    <t>Расширение газораспределительной сети по ул. Коммуны, Серова, Свердлова, Чкалова, пер. Крупской в г. Асбесте Свердловской области (1,2 км.)</t>
  </si>
  <si>
    <t>2.3.3</t>
  </si>
  <si>
    <t>жилой район Ново-Кирпичный</t>
  </si>
  <si>
    <t>Строительство расчитано сроком на 3 месяца</t>
  </si>
  <si>
    <t>Разработка местных нормативов градостроительного проектирования</t>
  </si>
  <si>
    <t>Техническое перевооружение системы теплоснабжения поселка Ново-Кирпичный  с установкой блочно-модульной котельной  мощностью 0,6 Мвт</t>
  </si>
  <si>
    <t>Аэрофотосъемочные работы, создание ортовотопланов М1:2000 и стереомодели М 1:500 г. Асбест, пос. Белокаменный, пос. Красноармейский</t>
  </si>
  <si>
    <t xml:space="preserve">Газопровод высокого давления до  жилого района  Ново-Кирпичный        (1 км) </t>
  </si>
  <si>
    <t>Газопровод высокого давления до  жилого района  Ново-Кирпичный</t>
  </si>
  <si>
    <t>Газоснабжение жилых домов по ул. Осипенко, свердлова, Коммуны, Чкалова в г.Асбест, Свердловской области (0,6 км.)</t>
  </si>
</sst>
</file>

<file path=xl/styles.xml><?xml version="1.0" encoding="utf-8"?>
<styleSheet xmlns="http://schemas.openxmlformats.org/spreadsheetml/2006/main">
  <numFmts count="3">
    <numFmt numFmtId="164" formatCode="[$-409]dd/mm/yy\ h:mm\ AM/PM;@"/>
    <numFmt numFmtId="165" formatCode="0.0"/>
    <numFmt numFmtId="166" formatCode="#,##0.0"/>
  </numFmts>
  <fonts count="25">
    <font>
      <sz val="10"/>
      <name val="Arial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7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0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/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top" wrapText="1"/>
    </xf>
    <xf numFmtId="0" fontId="6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1" fillId="0" borderId="0" xfId="0" applyFont="1" applyBorder="1"/>
    <xf numFmtId="0" fontId="6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16" fontId="8" fillId="0" borderId="0" xfId="0" applyNumberFormat="1" applyFont="1" applyBorder="1" applyAlignment="1">
      <alignment horizontal="center" vertical="top" wrapText="1"/>
    </xf>
    <xf numFmtId="14" fontId="5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5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6" fillId="0" borderId="1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justify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wrapText="1"/>
    </xf>
    <xf numFmtId="0" fontId="16" fillId="0" borderId="0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horizontal="right" vertical="top" wrapText="1"/>
    </xf>
    <xf numFmtId="0" fontId="8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 wrapText="1"/>
    </xf>
    <xf numFmtId="3" fontId="7" fillId="0" borderId="3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vertical="center" wrapText="1"/>
    </xf>
    <xf numFmtId="3" fontId="8" fillId="0" borderId="3" xfId="0" applyNumberFormat="1" applyFont="1" applyFill="1" applyBorder="1" applyAlignment="1">
      <alignment vertical="center" wrapText="1"/>
    </xf>
    <xf numFmtId="3" fontId="8" fillId="2" borderId="1" xfId="0" applyNumberFormat="1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vertical="center" wrapText="1"/>
    </xf>
    <xf numFmtId="3" fontId="9" fillId="0" borderId="3" xfId="0" applyNumberFormat="1" applyFont="1" applyFill="1" applyBorder="1" applyAlignment="1">
      <alignment vertical="center" wrapText="1"/>
    </xf>
    <xf numFmtId="0" fontId="21" fillId="0" borderId="0" xfId="0" applyFont="1"/>
    <xf numFmtId="3" fontId="5" fillId="0" borderId="4" xfId="0" applyNumberFormat="1" applyFont="1" applyFill="1" applyBorder="1" applyAlignment="1">
      <alignment vertical="center" wrapText="1"/>
    </xf>
    <xf numFmtId="3" fontId="5" fillId="0" borderId="9" xfId="0" applyNumberFormat="1" applyFont="1" applyFill="1" applyBorder="1" applyAlignment="1">
      <alignment vertical="center" wrapText="1"/>
    </xf>
    <xf numFmtId="0" fontId="20" fillId="0" borderId="0" xfId="0" applyFont="1"/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19" fillId="0" borderId="1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8" fillId="0" borderId="7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3" fontId="5" fillId="0" borderId="4" xfId="0" applyNumberFormat="1" applyFont="1" applyBorder="1" applyAlignment="1">
      <alignment horizontal="right" vertical="center" wrapText="1"/>
    </xf>
    <xf numFmtId="3" fontId="7" fillId="0" borderId="3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0" fillId="0" borderId="0" xfId="0" applyFill="1"/>
    <xf numFmtId="0" fontId="19" fillId="0" borderId="1" xfId="0" applyFont="1" applyBorder="1" applyAlignment="1">
      <alignment vertical="center" wrapText="1"/>
    </xf>
    <xf numFmtId="3" fontId="19" fillId="0" borderId="3" xfId="0" applyNumberFormat="1" applyFont="1" applyBorder="1" applyAlignment="1">
      <alignment horizontal="right" vertical="center" wrapText="1"/>
    </xf>
    <xf numFmtId="3" fontId="5" fillId="0" borderId="7" xfId="0" applyNumberFormat="1" applyFont="1" applyFill="1" applyBorder="1" applyAlignment="1">
      <alignment vertical="center" wrapText="1"/>
    </xf>
    <xf numFmtId="3" fontId="5" fillId="0" borderId="8" xfId="0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top" wrapText="1"/>
    </xf>
    <xf numFmtId="2" fontId="5" fillId="0" borderId="2" xfId="0" applyNumberFormat="1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7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right" vertical="top" wrapText="1"/>
    </xf>
    <xf numFmtId="166" fontId="7" fillId="0" borderId="1" xfId="0" applyNumberFormat="1" applyFont="1" applyFill="1" applyBorder="1" applyAlignment="1">
      <alignment horizontal="right" vertical="top" wrapText="1"/>
    </xf>
    <xf numFmtId="165" fontId="6" fillId="0" borderId="1" xfId="0" applyNumberFormat="1" applyFont="1" applyFill="1" applyBorder="1" applyAlignment="1">
      <alignment horizontal="right" vertical="top" wrapText="1"/>
    </xf>
    <xf numFmtId="165" fontId="5" fillId="0" borderId="1" xfId="0" applyNumberFormat="1" applyFont="1" applyFill="1" applyBorder="1" applyAlignment="1">
      <alignment horizontal="right" vertical="top" wrapText="1"/>
    </xf>
    <xf numFmtId="166" fontId="5" fillId="0" borderId="7" xfId="0" applyNumberFormat="1" applyFont="1" applyFill="1" applyBorder="1" applyAlignment="1">
      <alignment horizontal="right" vertical="top" wrapText="1"/>
    </xf>
    <xf numFmtId="49" fontId="5" fillId="0" borderId="5" xfId="0" applyNumberFormat="1" applyFont="1" applyFill="1" applyBorder="1" applyAlignment="1">
      <alignment horizontal="center" vertical="center" wrapText="1"/>
    </xf>
    <xf numFmtId="166" fontId="7" fillId="0" borderId="4" xfId="0" applyNumberFormat="1" applyFont="1" applyBorder="1" applyAlignment="1">
      <alignment horizontal="right" vertical="center" wrapText="1"/>
    </xf>
    <xf numFmtId="166" fontId="19" fillId="0" borderId="1" xfId="0" applyNumberFormat="1" applyFont="1" applyBorder="1" applyAlignment="1">
      <alignment horizontal="right" vertical="center" wrapText="1"/>
    </xf>
    <xf numFmtId="0" fontId="0" fillId="3" borderId="0" xfId="0" applyFill="1"/>
    <xf numFmtId="0" fontId="9" fillId="3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top" wrapText="1"/>
    </xf>
    <xf numFmtId="3" fontId="7" fillId="3" borderId="1" xfId="0" applyNumberFormat="1" applyFont="1" applyFill="1" applyBorder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3" fontId="9" fillId="3" borderId="1" xfId="0" applyNumberFormat="1" applyFont="1" applyFill="1" applyBorder="1" applyAlignment="1">
      <alignment horizontal="right" vertical="center" wrapText="1"/>
    </xf>
    <xf numFmtId="3" fontId="5" fillId="3" borderId="4" xfId="0" applyNumberFormat="1" applyFont="1" applyFill="1" applyBorder="1" applyAlignment="1">
      <alignment horizontal="right" vertical="center" wrapText="1"/>
    </xf>
    <xf numFmtId="3" fontId="19" fillId="3" borderId="1" xfId="0" applyNumberFormat="1" applyFont="1" applyFill="1" applyBorder="1" applyAlignment="1">
      <alignment horizontal="right" vertical="center" wrapText="1"/>
    </xf>
    <xf numFmtId="3" fontId="5" fillId="3" borderId="7" xfId="0" applyNumberFormat="1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 vertical="top" wrapText="1"/>
    </xf>
    <xf numFmtId="0" fontId="8" fillId="3" borderId="0" xfId="0" applyNumberFormat="1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5" fillId="3" borderId="0" xfId="0" applyNumberFormat="1" applyFont="1" applyFill="1" applyBorder="1" applyAlignment="1">
      <alignment horizontal="center" vertical="top" wrapText="1"/>
    </xf>
    <xf numFmtId="0" fontId="7" fillId="3" borderId="0" xfId="0" applyFont="1" applyFill="1" applyBorder="1" applyAlignment="1">
      <alignment horizontal="center" wrapText="1"/>
    </xf>
    <xf numFmtId="0" fontId="7" fillId="3" borderId="0" xfId="0" applyNumberFormat="1" applyFont="1" applyFill="1" applyBorder="1" applyAlignment="1">
      <alignment horizontal="center" wrapText="1"/>
    </xf>
    <xf numFmtId="0" fontId="8" fillId="3" borderId="0" xfId="0" applyNumberFormat="1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wrapText="1"/>
    </xf>
    <xf numFmtId="0" fontId="5" fillId="3" borderId="0" xfId="0" applyNumberFormat="1" applyFont="1" applyFill="1" applyBorder="1" applyAlignment="1">
      <alignment horizontal="center" wrapText="1"/>
    </xf>
    <xf numFmtId="0" fontId="16" fillId="3" borderId="0" xfId="0" applyNumberFormat="1" applyFont="1" applyFill="1" applyBorder="1" applyAlignment="1">
      <alignment horizontal="center" wrapText="1"/>
    </xf>
    <xf numFmtId="0" fontId="0" fillId="3" borderId="0" xfId="0" applyFill="1" applyBorder="1"/>
    <xf numFmtId="166" fontId="5" fillId="3" borderId="1" xfId="0" applyNumberFormat="1" applyFont="1" applyFill="1" applyBorder="1" applyAlignment="1">
      <alignment horizontal="right" vertical="center" wrapText="1"/>
    </xf>
    <xf numFmtId="3" fontId="8" fillId="3" borderId="1" xfId="0" applyNumberFormat="1" applyFont="1" applyFill="1" applyBorder="1" applyAlignment="1">
      <alignment horizontal="right" vertical="center" wrapText="1"/>
    </xf>
    <xf numFmtId="3" fontId="8" fillId="3" borderId="3" xfId="0" applyNumberFormat="1" applyFont="1" applyFill="1" applyBorder="1" applyAlignment="1">
      <alignment horizontal="right" vertical="center" wrapText="1"/>
    </xf>
    <xf numFmtId="3" fontId="5" fillId="3" borderId="3" xfId="0" applyNumberFormat="1" applyFont="1" applyFill="1" applyBorder="1" applyAlignment="1">
      <alignment horizontal="right" vertical="center" wrapText="1"/>
    </xf>
    <xf numFmtId="3" fontId="7" fillId="3" borderId="3" xfId="0" applyNumberFormat="1" applyFont="1" applyFill="1" applyBorder="1" applyAlignment="1">
      <alignment horizontal="right" vertical="center" wrapText="1"/>
    </xf>
    <xf numFmtId="166" fontId="9" fillId="3" borderId="1" xfId="0" applyNumberFormat="1" applyFont="1" applyFill="1" applyBorder="1" applyAlignment="1">
      <alignment horizontal="right" vertical="center" wrapText="1"/>
    </xf>
    <xf numFmtId="3" fontId="9" fillId="3" borderId="3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right" vertical="top" wrapText="1"/>
    </xf>
    <xf numFmtId="166" fontId="5" fillId="3" borderId="1" xfId="0" applyNumberFormat="1" applyFont="1" applyFill="1" applyBorder="1" applyAlignment="1">
      <alignment horizontal="right" vertical="top" wrapText="1"/>
    </xf>
    <xf numFmtId="166" fontId="7" fillId="3" borderId="1" xfId="0" applyNumberFormat="1" applyFont="1" applyFill="1" applyBorder="1" applyAlignment="1">
      <alignment horizontal="right" vertical="top" wrapText="1"/>
    </xf>
    <xf numFmtId="166" fontId="5" fillId="3" borderId="7" xfId="0" applyNumberFormat="1" applyFont="1" applyFill="1" applyBorder="1" applyAlignment="1">
      <alignment horizontal="right" vertical="top" wrapText="1"/>
    </xf>
    <xf numFmtId="0" fontId="5" fillId="3" borderId="0" xfId="0" applyFont="1" applyFill="1" applyAlignment="1">
      <alignment wrapText="1"/>
    </xf>
    <xf numFmtId="3" fontId="5" fillId="3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top" wrapText="1"/>
    </xf>
    <xf numFmtId="166" fontId="8" fillId="0" borderId="1" xfId="0" applyNumberFormat="1" applyFont="1" applyFill="1" applyBorder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166" fontId="8" fillId="3" borderId="1" xfId="0" applyNumberFormat="1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right" vertical="top" wrapText="1"/>
    </xf>
    <xf numFmtId="165" fontId="7" fillId="3" borderId="1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2" xfId="0" applyFont="1" applyBorder="1" applyAlignment="1">
      <alignment horizontal="center" wrapText="1"/>
    </xf>
    <xf numFmtId="166" fontId="5" fillId="0" borderId="0" xfId="0" applyNumberFormat="1" applyFont="1" applyFill="1" applyBorder="1" applyAlignment="1">
      <alignment horizontal="right" vertical="top" wrapText="1"/>
    </xf>
    <xf numFmtId="166" fontId="5" fillId="3" borderId="0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166" fontId="6" fillId="3" borderId="1" xfId="0" applyNumberFormat="1" applyFont="1" applyFill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vertical="center" wrapText="1"/>
    </xf>
    <xf numFmtId="166" fontId="8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166" fontId="7" fillId="0" borderId="1" xfId="0" applyNumberFormat="1" applyFont="1" applyBorder="1" applyAlignment="1">
      <alignment horizontal="right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right" vertical="top" wrapText="1"/>
    </xf>
    <xf numFmtId="0" fontId="8" fillId="3" borderId="1" xfId="0" applyFont="1" applyFill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justify" vertical="center" wrapText="1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3" fontId="8" fillId="0" borderId="3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vertical="center" wrapText="1"/>
    </xf>
    <xf numFmtId="166" fontId="5" fillId="0" borderId="1" xfId="0" applyNumberFormat="1" applyFont="1" applyBorder="1" applyAlignment="1">
      <alignment horizontal="right" vertical="center" wrapText="1"/>
    </xf>
    <xf numFmtId="0" fontId="5" fillId="0" borderId="27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justify" wrapText="1"/>
    </xf>
    <xf numFmtId="0" fontId="5" fillId="0" borderId="1" xfId="0" applyFont="1" applyBorder="1" applyAlignment="1">
      <alignment vertical="justify" wrapText="1"/>
    </xf>
    <xf numFmtId="0" fontId="5" fillId="0" borderId="18" xfId="0" applyFont="1" applyBorder="1" applyAlignment="1">
      <alignment vertical="justify" wrapText="1"/>
    </xf>
    <xf numFmtId="0" fontId="5" fillId="0" borderId="1" xfId="0" applyFont="1" applyBorder="1" applyAlignment="1">
      <alignment vertical="center" wrapText="1"/>
    </xf>
    <xf numFmtId="166" fontId="5" fillId="0" borderId="7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66" fontId="19" fillId="0" borderId="7" xfId="0" applyNumberFormat="1" applyFont="1" applyBorder="1" applyAlignment="1">
      <alignment horizontal="right" vertical="center" wrapText="1"/>
    </xf>
    <xf numFmtId="166" fontId="8" fillId="0" borderId="1" xfId="0" applyNumberFormat="1" applyFont="1" applyFill="1" applyBorder="1" applyAlignment="1">
      <alignment horizontal="right" vertical="top" wrapText="1"/>
    </xf>
    <xf numFmtId="166" fontId="8" fillId="3" borderId="1" xfId="0" applyNumberFormat="1" applyFont="1" applyFill="1" applyBorder="1" applyAlignment="1">
      <alignment horizontal="right" vertical="top" wrapText="1"/>
    </xf>
    <xf numFmtId="165" fontId="7" fillId="0" borderId="1" xfId="0" applyNumberFormat="1" applyFont="1" applyFill="1" applyBorder="1" applyAlignment="1">
      <alignment horizontal="right" vertical="top" wrapText="1"/>
    </xf>
    <xf numFmtId="49" fontId="5" fillId="0" borderId="2" xfId="0" applyNumberFormat="1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vertical="center" wrapText="1"/>
    </xf>
    <xf numFmtId="2" fontId="13" fillId="0" borderId="6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vertical="center" wrapText="1"/>
    </xf>
    <xf numFmtId="166" fontId="7" fillId="0" borderId="1" xfId="0" applyNumberFormat="1" applyFont="1" applyBorder="1" applyAlignment="1">
      <alignment horizontal="right" vertical="center" wrapText="1"/>
    </xf>
    <xf numFmtId="166" fontId="7" fillId="0" borderId="7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justify" vertical="justify" wrapText="1"/>
    </xf>
    <xf numFmtId="0" fontId="5" fillId="0" borderId="1" xfId="0" applyFont="1" applyBorder="1" applyAlignment="1">
      <alignment horizontal="justify" vertical="justify" wrapText="1"/>
    </xf>
    <xf numFmtId="166" fontId="8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6" fontId="8" fillId="3" borderId="1" xfId="0" applyNumberFormat="1" applyFont="1" applyFill="1" applyBorder="1" applyAlignment="1">
      <alignment horizontal="right" vertical="top" wrapText="1"/>
    </xf>
    <xf numFmtId="3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8" fillId="0" borderId="0" xfId="0" applyFont="1" applyBorder="1" applyAlignment="1">
      <alignment vertical="top" wrapText="1"/>
    </xf>
    <xf numFmtId="0" fontId="7" fillId="0" borderId="6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7" fillId="0" borderId="32" xfId="0" applyFont="1" applyBorder="1" applyAlignment="1">
      <alignment horizontal="left" wrapText="1"/>
    </xf>
    <xf numFmtId="0" fontId="5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wrapText="1"/>
    </xf>
    <xf numFmtId="14" fontId="5" fillId="0" borderId="0" xfId="0" applyNumberFormat="1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center" vertical="top" wrapText="1"/>
    </xf>
    <xf numFmtId="16" fontId="8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1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justify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166" fontId="8" fillId="0" borderId="1" xfId="0" applyNumberFormat="1" applyFont="1" applyFill="1" applyBorder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6" fontId="8" fillId="3" borderId="1" xfId="0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right" vertical="top" wrapText="1"/>
    </xf>
    <xf numFmtId="165" fontId="7" fillId="3" borderId="1" xfId="0" applyNumberFormat="1" applyFont="1" applyFill="1" applyBorder="1" applyAlignment="1">
      <alignment horizontal="right" vertical="top" wrapText="1"/>
    </xf>
    <xf numFmtId="0" fontId="5" fillId="0" borderId="2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32" xfId="0" applyFont="1" applyBorder="1" applyAlignment="1">
      <alignment horizontal="righ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3" fontId="5" fillId="0" borderId="9" xfId="0" applyNumberFormat="1" applyFont="1" applyFill="1" applyBorder="1" applyAlignment="1">
      <alignment horizontal="right" vertical="center" wrapText="1"/>
    </xf>
    <xf numFmtId="3" fontId="5" fillId="0" borderId="29" xfId="0" applyNumberFormat="1" applyFont="1" applyFill="1" applyBorder="1" applyAlignment="1">
      <alignment horizontal="right" vertical="center" wrapText="1"/>
    </xf>
    <xf numFmtId="3" fontId="5" fillId="0" borderId="4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2" fontId="13" fillId="0" borderId="37" xfId="0" applyNumberFormat="1" applyFont="1" applyBorder="1" applyAlignment="1">
      <alignment horizontal="center" vertical="center" wrapText="1"/>
    </xf>
    <xf numFmtId="2" fontId="13" fillId="0" borderId="25" xfId="0" applyNumberFormat="1" applyFont="1" applyBorder="1" applyAlignment="1">
      <alignment horizontal="center" vertical="center" wrapText="1"/>
    </xf>
    <xf numFmtId="2" fontId="13" fillId="0" borderId="32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top" wrapText="1"/>
    </xf>
    <xf numFmtId="3" fontId="8" fillId="0" borderId="3" xfId="0" applyNumberFormat="1" applyFont="1" applyBorder="1" applyAlignment="1">
      <alignment horizontal="right" vertical="center" wrapText="1"/>
    </xf>
    <xf numFmtId="0" fontId="5" fillId="0" borderId="2" xfId="0" applyNumberFormat="1" applyFont="1" applyBorder="1" applyAlignment="1" applyProtection="1">
      <alignment horizontal="center" vertical="center" wrapText="1"/>
      <protection locked="0" hidden="1"/>
    </xf>
    <xf numFmtId="0" fontId="5" fillId="0" borderId="1" xfId="0" applyFont="1" applyBorder="1" applyAlignment="1">
      <alignment vertical="center" wrapText="1"/>
    </xf>
    <xf numFmtId="0" fontId="5" fillId="0" borderId="2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left" vertical="justify" wrapText="1"/>
    </xf>
    <xf numFmtId="0" fontId="10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justify" vertical="top" wrapText="1"/>
    </xf>
    <xf numFmtId="0" fontId="5" fillId="0" borderId="27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0" borderId="36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166" fontId="6" fillId="0" borderId="1" xfId="0" applyNumberFormat="1" applyFont="1" applyBorder="1" applyAlignment="1">
      <alignment horizontal="right" vertical="center" wrapText="1"/>
    </xf>
    <xf numFmtId="0" fontId="5" fillId="3" borderId="1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justify" wrapText="1"/>
    </xf>
    <xf numFmtId="0" fontId="9" fillId="0" borderId="0" xfId="0" applyFont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N369"/>
  <sheetViews>
    <sheetView workbookViewId="0">
      <selection activeCell="N369" sqref="N369"/>
    </sheetView>
  </sheetViews>
  <sheetFormatPr defaultRowHeight="12.75"/>
  <cols>
    <col min="1" max="1" width="7.28515625" customWidth="1"/>
    <col min="2" max="2" width="38" customWidth="1"/>
    <col min="3" max="3" width="11" customWidth="1"/>
    <col min="11" max="11" width="27.5703125" customWidth="1"/>
  </cols>
  <sheetData>
    <row r="1" spans="1:14" ht="15.75">
      <c r="A1" s="334" t="s">
        <v>345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5"/>
      <c r="M1" s="5"/>
      <c r="N1" s="5"/>
    </row>
    <row r="2" spans="1:14" ht="15.75">
      <c r="A2" s="334" t="s">
        <v>344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5"/>
      <c r="M2" s="5"/>
      <c r="N2" s="5"/>
    </row>
    <row r="3" spans="1:14" ht="15.75">
      <c r="A3" s="334" t="s">
        <v>346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5"/>
      <c r="M3" s="5"/>
      <c r="N3" s="5"/>
    </row>
    <row r="4" spans="1:14" ht="15.75">
      <c r="A4" s="334" t="s">
        <v>358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5"/>
      <c r="M4" s="5"/>
      <c r="N4" s="5"/>
    </row>
    <row r="5" spans="1:14" ht="18.75">
      <c r="A5" s="3"/>
    </row>
    <row r="6" spans="1:14" ht="18.75">
      <c r="A6" s="330" t="s">
        <v>0</v>
      </c>
      <c r="B6" s="330"/>
      <c r="C6" s="330"/>
      <c r="D6" s="330"/>
      <c r="E6" s="330"/>
      <c r="F6" s="330"/>
      <c r="G6" s="330"/>
      <c r="H6" s="330"/>
      <c r="I6" s="330"/>
      <c r="J6" s="330"/>
      <c r="K6" s="330"/>
    </row>
    <row r="7" spans="1:14" ht="18.75">
      <c r="A7" s="330" t="s">
        <v>1</v>
      </c>
      <c r="B7" s="330"/>
      <c r="C7" s="330"/>
      <c r="D7" s="330"/>
      <c r="E7" s="330"/>
      <c r="F7" s="330"/>
      <c r="G7" s="330"/>
      <c r="H7" s="330"/>
      <c r="I7" s="330"/>
      <c r="J7" s="330"/>
      <c r="K7" s="330"/>
    </row>
    <row r="8" spans="1:14" ht="18.75">
      <c r="A8" s="330" t="s">
        <v>169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</row>
    <row r="9" spans="1:14" ht="19.5" thickBot="1">
      <c r="A9" s="4"/>
    </row>
    <row r="10" spans="1:14" ht="18" customHeight="1">
      <c r="A10" s="326" t="s">
        <v>17</v>
      </c>
      <c r="B10" s="347" t="s">
        <v>24</v>
      </c>
      <c r="C10" s="328" t="s">
        <v>25</v>
      </c>
      <c r="D10" s="331" t="s">
        <v>2</v>
      </c>
      <c r="E10" s="331"/>
      <c r="F10" s="331"/>
      <c r="G10" s="331"/>
      <c r="H10" s="331"/>
      <c r="I10" s="331"/>
      <c r="J10" s="331"/>
      <c r="K10" s="332" t="s">
        <v>26</v>
      </c>
    </row>
    <row r="11" spans="1:14" ht="27.75" customHeight="1">
      <c r="A11" s="327"/>
      <c r="B11" s="348"/>
      <c r="C11" s="329"/>
      <c r="D11" s="17" t="s">
        <v>3</v>
      </c>
      <c r="E11" s="18" t="s">
        <v>18</v>
      </c>
      <c r="F11" s="18" t="s">
        <v>19</v>
      </c>
      <c r="G11" s="18" t="s">
        <v>20</v>
      </c>
      <c r="H11" s="18" t="s">
        <v>21</v>
      </c>
      <c r="I11" s="18" t="s">
        <v>22</v>
      </c>
      <c r="J11" s="18" t="s">
        <v>23</v>
      </c>
      <c r="K11" s="333"/>
    </row>
    <row r="12" spans="1:14">
      <c r="A12" s="12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13">
        <v>11</v>
      </c>
    </row>
    <row r="13" spans="1:14" ht="15">
      <c r="A13" s="14">
        <v>1</v>
      </c>
      <c r="B13" s="335" t="s">
        <v>4</v>
      </c>
      <c r="C13" s="335"/>
      <c r="D13" s="335"/>
      <c r="E13" s="335"/>
      <c r="F13" s="335"/>
      <c r="G13" s="335"/>
      <c r="H13" s="335"/>
      <c r="I13" s="335"/>
      <c r="J13" s="335"/>
      <c r="K13" s="336"/>
    </row>
    <row r="14" spans="1:14" ht="40.5" customHeight="1">
      <c r="A14" s="14">
        <v>2</v>
      </c>
      <c r="B14" s="370" t="s">
        <v>209</v>
      </c>
      <c r="C14" s="370"/>
      <c r="D14" s="370"/>
      <c r="E14" s="370"/>
      <c r="F14" s="370"/>
      <c r="G14" s="370"/>
      <c r="H14" s="370"/>
      <c r="I14" s="370"/>
      <c r="J14" s="370"/>
      <c r="K14" s="371"/>
    </row>
    <row r="15" spans="1:14" ht="22.5" customHeight="1">
      <c r="A15" s="14">
        <v>3</v>
      </c>
      <c r="B15" s="374" t="s">
        <v>357</v>
      </c>
      <c r="C15" s="375"/>
      <c r="D15" s="375"/>
      <c r="E15" s="375"/>
      <c r="F15" s="375"/>
      <c r="G15" s="375"/>
      <c r="H15" s="375"/>
      <c r="I15" s="375"/>
      <c r="J15" s="375"/>
      <c r="K15" s="376"/>
    </row>
    <row r="16" spans="1:14" ht="44.25" customHeight="1">
      <c r="A16" s="14">
        <v>4</v>
      </c>
      <c r="B16" s="9" t="s">
        <v>27</v>
      </c>
      <c r="C16" s="19" t="s">
        <v>343</v>
      </c>
      <c r="D16" s="7">
        <v>7200</v>
      </c>
      <c r="E16" s="7">
        <v>7500</v>
      </c>
      <c r="F16" s="282">
        <v>7500</v>
      </c>
      <c r="G16" s="282">
        <v>7900</v>
      </c>
      <c r="H16" s="282">
        <v>8300</v>
      </c>
      <c r="I16" s="7">
        <v>8500</v>
      </c>
      <c r="J16" s="7">
        <v>150000</v>
      </c>
      <c r="K16" s="20" t="s">
        <v>391</v>
      </c>
    </row>
    <row r="17" spans="1:11" ht="64.5" customHeight="1">
      <c r="A17" s="14">
        <v>5</v>
      </c>
      <c r="B17" s="21" t="s">
        <v>5</v>
      </c>
      <c r="C17" s="19" t="s">
        <v>28</v>
      </c>
      <c r="D17" s="7">
        <v>24.55</v>
      </c>
      <c r="E17" s="7">
        <v>24.68</v>
      </c>
      <c r="F17" s="282">
        <v>25.34</v>
      </c>
      <c r="G17" s="282">
        <v>25.66</v>
      </c>
      <c r="H17" s="282">
        <v>26</v>
      </c>
      <c r="I17" s="7">
        <v>26.5</v>
      </c>
      <c r="J17" s="7">
        <v>30</v>
      </c>
      <c r="K17" s="20" t="s">
        <v>392</v>
      </c>
    </row>
    <row r="18" spans="1:11" ht="42.75" customHeight="1">
      <c r="A18" s="15">
        <v>6</v>
      </c>
      <c r="B18" s="339" t="s">
        <v>210</v>
      </c>
      <c r="C18" s="340"/>
      <c r="D18" s="340"/>
      <c r="E18" s="340"/>
      <c r="F18" s="340"/>
      <c r="G18" s="340"/>
      <c r="H18" s="340"/>
      <c r="I18" s="340"/>
      <c r="J18" s="340"/>
      <c r="K18" s="341"/>
    </row>
    <row r="19" spans="1:11" ht="15">
      <c r="A19" s="15">
        <v>1</v>
      </c>
      <c r="B19" s="10">
        <v>2</v>
      </c>
      <c r="C19" s="10">
        <v>3</v>
      </c>
      <c r="D19" s="7">
        <v>4</v>
      </c>
      <c r="E19" s="7">
        <v>5</v>
      </c>
      <c r="F19" s="7">
        <v>6</v>
      </c>
      <c r="G19" s="7">
        <v>7</v>
      </c>
      <c r="H19" s="7">
        <v>8</v>
      </c>
      <c r="I19" s="7">
        <v>9</v>
      </c>
      <c r="J19" s="7">
        <v>10</v>
      </c>
      <c r="K19" s="16"/>
    </row>
    <row r="20" spans="1:11" ht="91.5" customHeight="1">
      <c r="A20" s="14">
        <v>7</v>
      </c>
      <c r="B20" s="9" t="s">
        <v>29</v>
      </c>
      <c r="C20" s="19" t="s">
        <v>6</v>
      </c>
      <c r="D20" s="9">
        <v>10.6</v>
      </c>
      <c r="E20" s="9">
        <v>60</v>
      </c>
      <c r="F20" s="61">
        <v>40</v>
      </c>
      <c r="G20" s="61">
        <v>40</v>
      </c>
      <c r="H20" s="61">
        <v>40</v>
      </c>
      <c r="I20" s="9">
        <v>40</v>
      </c>
      <c r="J20" s="9">
        <v>70</v>
      </c>
      <c r="K20" s="342" t="s">
        <v>393</v>
      </c>
    </row>
    <row r="21" spans="1:11" ht="64.5" customHeight="1">
      <c r="A21" s="14">
        <v>8</v>
      </c>
      <c r="B21" s="9" t="s">
        <v>7</v>
      </c>
      <c r="C21" s="19" t="s">
        <v>8</v>
      </c>
      <c r="D21" s="7">
        <v>2</v>
      </c>
      <c r="E21" s="9">
        <v>3</v>
      </c>
      <c r="F21" s="61">
        <v>1</v>
      </c>
      <c r="G21" s="61">
        <v>2</v>
      </c>
      <c r="H21" s="61">
        <v>2</v>
      </c>
      <c r="I21" s="61">
        <v>0</v>
      </c>
      <c r="J21" s="61">
        <v>3</v>
      </c>
      <c r="K21" s="333"/>
    </row>
    <row r="22" spans="1:11" ht="30.75" customHeight="1">
      <c r="A22" s="14">
        <v>9</v>
      </c>
      <c r="B22" s="367" t="s">
        <v>211</v>
      </c>
      <c r="C22" s="368"/>
      <c r="D22" s="368"/>
      <c r="E22" s="368"/>
      <c r="F22" s="368"/>
      <c r="G22" s="368"/>
      <c r="H22" s="368"/>
      <c r="I22" s="368"/>
      <c r="J22" s="369"/>
      <c r="K22" s="342" t="s">
        <v>394</v>
      </c>
    </row>
    <row r="23" spans="1:11" ht="42.75" customHeight="1">
      <c r="A23" s="14">
        <v>10</v>
      </c>
      <c r="B23" s="9" t="s">
        <v>9</v>
      </c>
      <c r="C23" s="19" t="s">
        <v>6</v>
      </c>
      <c r="D23" s="9">
        <v>70</v>
      </c>
      <c r="E23" s="9">
        <v>39.799999999999997</v>
      </c>
      <c r="F23" s="61">
        <v>0</v>
      </c>
      <c r="G23" s="61">
        <v>10</v>
      </c>
      <c r="H23" s="61">
        <v>10</v>
      </c>
      <c r="I23" s="9">
        <v>10</v>
      </c>
      <c r="J23" s="9">
        <v>22</v>
      </c>
      <c r="K23" s="333"/>
    </row>
    <row r="24" spans="1:11" ht="15">
      <c r="A24" s="14">
        <v>11</v>
      </c>
      <c r="B24" s="335" t="s">
        <v>10</v>
      </c>
      <c r="C24" s="335"/>
      <c r="D24" s="335"/>
      <c r="E24" s="335"/>
      <c r="F24" s="335"/>
      <c r="G24" s="335"/>
      <c r="H24" s="335"/>
      <c r="I24" s="335"/>
      <c r="J24" s="335"/>
      <c r="K24" s="336"/>
    </row>
    <row r="25" spans="1:11" ht="33" customHeight="1">
      <c r="A25" s="14">
        <v>12</v>
      </c>
      <c r="B25" s="372" t="s">
        <v>11</v>
      </c>
      <c r="C25" s="372"/>
      <c r="D25" s="372"/>
      <c r="E25" s="372"/>
      <c r="F25" s="372"/>
      <c r="G25" s="372"/>
      <c r="H25" s="372"/>
      <c r="I25" s="372"/>
      <c r="J25" s="372"/>
      <c r="K25" s="373"/>
    </row>
    <row r="26" spans="1:11">
      <c r="A26" s="12">
        <v>1</v>
      </c>
      <c r="B26" s="6">
        <v>2</v>
      </c>
      <c r="C26" s="6">
        <v>3</v>
      </c>
      <c r="D26" s="6">
        <v>4</v>
      </c>
      <c r="E26" s="6">
        <v>5</v>
      </c>
      <c r="F26" s="6">
        <v>6</v>
      </c>
      <c r="G26" s="6">
        <v>7</v>
      </c>
      <c r="H26" s="6">
        <v>8</v>
      </c>
      <c r="I26" s="6">
        <v>9</v>
      </c>
      <c r="J26" s="6">
        <v>10</v>
      </c>
      <c r="K26" s="13">
        <v>11</v>
      </c>
    </row>
    <row r="27" spans="1:11" ht="116.25" customHeight="1">
      <c r="A27" s="14">
        <v>13</v>
      </c>
      <c r="B27" s="11" t="s">
        <v>12</v>
      </c>
      <c r="C27" s="9"/>
      <c r="D27" s="9"/>
      <c r="E27" s="9"/>
      <c r="F27" s="9"/>
      <c r="G27" s="9"/>
      <c r="H27" s="9"/>
      <c r="I27" s="9"/>
      <c r="J27" s="9"/>
      <c r="K27" s="364" t="s">
        <v>395</v>
      </c>
    </row>
    <row r="28" spans="1:11" ht="36" customHeight="1">
      <c r="A28" s="14">
        <v>14</v>
      </c>
      <c r="B28" s="9" t="s">
        <v>359</v>
      </c>
      <c r="C28" s="61" t="s">
        <v>13</v>
      </c>
      <c r="D28" s="61">
        <v>0</v>
      </c>
      <c r="E28" s="61">
        <v>0</v>
      </c>
      <c r="F28" s="61">
        <v>0</v>
      </c>
      <c r="G28" s="61">
        <v>1.2</v>
      </c>
      <c r="H28" s="61">
        <v>4.5</v>
      </c>
      <c r="I28" s="61">
        <v>1.5</v>
      </c>
      <c r="J28" s="61">
        <v>1</v>
      </c>
      <c r="K28" s="365"/>
    </row>
    <row r="29" spans="1:11" ht="132" customHeight="1">
      <c r="A29" s="14">
        <v>15</v>
      </c>
      <c r="B29" s="285" t="s">
        <v>396</v>
      </c>
      <c r="C29" s="8"/>
      <c r="D29" s="8"/>
      <c r="E29" s="9"/>
      <c r="F29" s="61"/>
      <c r="G29" s="61"/>
      <c r="H29" s="61"/>
      <c r="I29" s="9"/>
      <c r="J29" s="9"/>
      <c r="K29" s="365"/>
    </row>
    <row r="30" spans="1:11" ht="33" customHeight="1">
      <c r="A30" s="14">
        <v>16</v>
      </c>
      <c r="B30" s="9" t="s">
        <v>397</v>
      </c>
      <c r="C30" s="9" t="s">
        <v>13</v>
      </c>
      <c r="D30" s="9">
        <v>5.6</v>
      </c>
      <c r="E30" s="9">
        <f>11.02-2.8</f>
        <v>8.2199999999999989</v>
      </c>
      <c r="F30" s="61">
        <f>2.8</f>
        <v>2.8</v>
      </c>
      <c r="G30" s="61">
        <v>2.4</v>
      </c>
      <c r="H30" s="61">
        <v>0</v>
      </c>
      <c r="I30" s="9">
        <v>0</v>
      </c>
      <c r="J30" s="9">
        <v>2.5</v>
      </c>
      <c r="K30" s="365"/>
    </row>
    <row r="31" spans="1:11" ht="114">
      <c r="A31" s="14">
        <v>17</v>
      </c>
      <c r="B31" s="284" t="s">
        <v>360</v>
      </c>
      <c r="C31" s="9"/>
      <c r="D31" s="9"/>
      <c r="E31" s="9"/>
      <c r="F31" s="61"/>
      <c r="G31" s="61"/>
      <c r="H31" s="61"/>
      <c r="I31" s="9"/>
      <c r="J31" s="9"/>
      <c r="K31" s="365"/>
    </row>
    <row r="32" spans="1:11" ht="63" customHeight="1">
      <c r="A32" s="14">
        <v>18</v>
      </c>
      <c r="B32" s="9" t="s">
        <v>14</v>
      </c>
      <c r="C32" s="9" t="s">
        <v>15</v>
      </c>
      <c r="D32" s="9">
        <v>8</v>
      </c>
      <c r="E32" s="9">
        <v>2</v>
      </c>
      <c r="F32" s="61">
        <v>2</v>
      </c>
      <c r="G32" s="61">
        <v>0</v>
      </c>
      <c r="H32" s="61">
        <v>0</v>
      </c>
      <c r="I32" s="61">
        <v>0</v>
      </c>
      <c r="J32" s="9">
        <v>0</v>
      </c>
      <c r="K32" s="365"/>
    </row>
    <row r="33" spans="1:11" ht="53.25" customHeight="1">
      <c r="A33" s="14">
        <v>19</v>
      </c>
      <c r="B33" s="138" t="s">
        <v>203</v>
      </c>
      <c r="C33" s="9" t="s">
        <v>8</v>
      </c>
      <c r="D33" s="9">
        <v>1</v>
      </c>
      <c r="E33" s="9">
        <v>0</v>
      </c>
      <c r="F33" s="61">
        <v>0</v>
      </c>
      <c r="G33" s="61">
        <v>0</v>
      </c>
      <c r="H33" s="61">
        <v>0</v>
      </c>
      <c r="I33" s="61">
        <v>0</v>
      </c>
      <c r="J33" s="9">
        <v>0</v>
      </c>
      <c r="K33" s="365"/>
    </row>
    <row r="34" spans="1:11" ht="48" customHeight="1" thickBot="1">
      <c r="A34" s="88">
        <v>20</v>
      </c>
      <c r="B34" s="89" t="s">
        <v>170</v>
      </c>
      <c r="C34" s="89" t="s">
        <v>16</v>
      </c>
      <c r="D34" s="89">
        <v>82</v>
      </c>
      <c r="E34" s="89">
        <v>84</v>
      </c>
      <c r="F34" s="90">
        <v>86</v>
      </c>
      <c r="G34" s="90">
        <v>90</v>
      </c>
      <c r="H34" s="90">
        <v>95</v>
      </c>
      <c r="I34" s="90">
        <v>97</v>
      </c>
      <c r="J34" s="89">
        <v>100</v>
      </c>
      <c r="K34" s="366"/>
    </row>
    <row r="35" spans="1:11" ht="15">
      <c r="A35" s="2"/>
    </row>
    <row r="36" spans="1:11" ht="15">
      <c r="A36" s="2"/>
    </row>
    <row r="37" spans="1:11" ht="15">
      <c r="A37" s="2"/>
    </row>
    <row r="38" spans="1:11" ht="15">
      <c r="A38" s="2"/>
    </row>
    <row r="39" spans="1:11" ht="15">
      <c r="A39" s="2"/>
    </row>
    <row r="40" spans="1:11" ht="15">
      <c r="A40" s="2"/>
    </row>
    <row r="41" spans="1:11" ht="15">
      <c r="A41" s="2"/>
    </row>
    <row r="42" spans="1:11" ht="15">
      <c r="A42" s="2"/>
    </row>
    <row r="43" spans="1:11" ht="15">
      <c r="A43" s="2"/>
    </row>
    <row r="44" spans="1:11" ht="15">
      <c r="A44" s="2"/>
    </row>
    <row r="45" spans="1:11" ht="15">
      <c r="A45" s="2"/>
    </row>
    <row r="46" spans="1:11" ht="15">
      <c r="A46" s="2"/>
    </row>
    <row r="47" spans="1:11" ht="15">
      <c r="A47" s="2"/>
    </row>
    <row r="48" spans="1:11" ht="15">
      <c r="A48" s="2"/>
    </row>
    <row r="49" spans="1:14" ht="15">
      <c r="A49" s="2"/>
    </row>
    <row r="50" spans="1:14" ht="15">
      <c r="A50" s="2"/>
    </row>
    <row r="51" spans="1:14" ht="15">
      <c r="A51" s="2"/>
    </row>
    <row r="52" spans="1:14" ht="15.75">
      <c r="A52" s="1"/>
    </row>
    <row r="53" spans="1:14" s="23" customFormat="1" ht="15.75">
      <c r="A53" s="22"/>
    </row>
    <row r="54" spans="1:14" s="23" customFormat="1" ht="15.75">
      <c r="A54" s="22"/>
    </row>
    <row r="55" spans="1:14" s="23" customFormat="1" ht="15.75">
      <c r="A55" s="22"/>
    </row>
    <row r="56" spans="1:14" s="23" customFormat="1" ht="15.75">
      <c r="A56" s="22"/>
    </row>
    <row r="57" spans="1:14" s="23" customFormat="1" ht="18.75">
      <c r="A57" s="24"/>
    </row>
    <row r="58" spans="1:14" s="23" customFormat="1" ht="18.75">
      <c r="A58" s="24"/>
    </row>
    <row r="59" spans="1:14" s="23" customFormat="1" ht="18.75">
      <c r="A59" s="24"/>
    </row>
    <row r="60" spans="1:14" s="23" customFormat="1" ht="18.75">
      <c r="A60" s="24"/>
    </row>
    <row r="61" spans="1:14" s="23" customFormat="1" ht="87.75" customHeight="1">
      <c r="A61" s="25"/>
      <c r="B61" s="25"/>
      <c r="C61" s="349"/>
      <c r="D61" s="349"/>
      <c r="E61" s="349"/>
      <c r="F61" s="349"/>
      <c r="G61" s="349"/>
      <c r="H61" s="349"/>
      <c r="I61" s="349"/>
      <c r="J61" s="349"/>
      <c r="K61" s="349"/>
      <c r="L61" s="349"/>
      <c r="M61" s="349"/>
      <c r="N61" s="349"/>
    </row>
    <row r="62" spans="1:14" s="23" customFormat="1">
      <c r="A62" s="25"/>
      <c r="B62" s="25"/>
      <c r="C62" s="349"/>
      <c r="D62" s="349"/>
      <c r="E62" s="349"/>
      <c r="F62" s="349"/>
      <c r="G62" s="349"/>
      <c r="H62" s="349"/>
      <c r="I62" s="349"/>
      <c r="J62" s="349"/>
      <c r="K62" s="349"/>
      <c r="L62" s="349"/>
      <c r="M62" s="349"/>
      <c r="N62" s="349"/>
    </row>
    <row r="63" spans="1:14" s="23" customFormat="1">
      <c r="A63" s="25"/>
      <c r="B63" s="25"/>
      <c r="C63" s="349"/>
      <c r="D63" s="349"/>
      <c r="E63" s="349"/>
      <c r="F63" s="349"/>
      <c r="G63" s="25"/>
      <c r="H63" s="349"/>
      <c r="I63" s="349"/>
      <c r="J63" s="25"/>
      <c r="K63" s="25"/>
      <c r="L63" s="25"/>
      <c r="M63" s="25"/>
      <c r="N63" s="349"/>
    </row>
    <row r="64" spans="1:14" s="23" customFormat="1">
      <c r="A64" s="26"/>
      <c r="B64" s="26"/>
      <c r="C64" s="349"/>
      <c r="D64" s="349"/>
      <c r="E64" s="349"/>
      <c r="F64" s="349"/>
      <c r="G64" s="25"/>
      <c r="H64" s="349"/>
      <c r="I64" s="349"/>
      <c r="J64" s="25"/>
      <c r="K64" s="25"/>
      <c r="L64" s="25"/>
      <c r="M64" s="25"/>
      <c r="N64" s="349"/>
    </row>
    <row r="65" spans="1:14" s="23" customFormat="1">
      <c r="A65" s="25"/>
      <c r="B65" s="25"/>
      <c r="C65" s="25"/>
      <c r="D65" s="349"/>
      <c r="E65" s="349"/>
      <c r="F65" s="349"/>
      <c r="G65" s="349"/>
      <c r="H65" s="349"/>
      <c r="I65" s="25"/>
      <c r="J65" s="25"/>
      <c r="K65" s="25"/>
      <c r="L65" s="25"/>
      <c r="M65" s="25"/>
      <c r="N65" s="25"/>
    </row>
    <row r="66" spans="1:14" s="23" customFormat="1">
      <c r="A66" s="349"/>
      <c r="B66" s="27"/>
      <c r="C66" s="359"/>
      <c r="D66" s="359"/>
      <c r="E66" s="359"/>
      <c r="F66" s="359"/>
      <c r="G66" s="359"/>
      <c r="H66" s="359"/>
      <c r="I66" s="359"/>
      <c r="J66" s="359"/>
      <c r="K66" s="359"/>
      <c r="L66" s="359"/>
      <c r="M66" s="359"/>
      <c r="N66" s="349"/>
    </row>
    <row r="67" spans="1:14" s="23" customFormat="1">
      <c r="A67" s="349"/>
      <c r="B67" s="27"/>
      <c r="C67" s="359"/>
      <c r="D67" s="359"/>
      <c r="E67" s="359"/>
      <c r="F67" s="359"/>
      <c r="G67" s="359"/>
      <c r="H67" s="359"/>
      <c r="I67" s="359"/>
      <c r="J67" s="359"/>
      <c r="K67" s="359"/>
      <c r="L67" s="359"/>
      <c r="M67" s="359"/>
      <c r="N67" s="349"/>
    </row>
    <row r="68" spans="1:14" s="23" customFormat="1">
      <c r="A68" s="349"/>
      <c r="B68" s="29"/>
      <c r="C68" s="359"/>
      <c r="D68" s="359"/>
      <c r="E68" s="359"/>
      <c r="F68" s="359"/>
      <c r="G68" s="359"/>
      <c r="H68" s="359"/>
      <c r="I68" s="359"/>
      <c r="J68" s="359"/>
      <c r="K68" s="359"/>
      <c r="L68" s="359"/>
      <c r="M68" s="359"/>
      <c r="N68" s="349"/>
    </row>
    <row r="69" spans="1:14" s="23" customFormat="1">
      <c r="A69" s="25"/>
      <c r="B69" s="29"/>
      <c r="C69" s="25"/>
      <c r="D69" s="349"/>
      <c r="E69" s="349"/>
      <c r="F69" s="349"/>
      <c r="G69" s="349"/>
      <c r="H69" s="349"/>
      <c r="I69" s="25"/>
      <c r="J69" s="25"/>
      <c r="K69" s="25"/>
      <c r="L69" s="25"/>
      <c r="M69" s="25"/>
      <c r="N69" s="25"/>
    </row>
    <row r="70" spans="1:14" s="23" customFormat="1">
      <c r="A70" s="25"/>
      <c r="B70" s="29"/>
      <c r="C70" s="25"/>
      <c r="D70" s="349"/>
      <c r="E70" s="349"/>
      <c r="F70" s="349"/>
      <c r="G70" s="349"/>
      <c r="H70" s="349"/>
      <c r="I70" s="25"/>
      <c r="J70" s="25"/>
      <c r="K70" s="25"/>
      <c r="L70" s="25"/>
      <c r="M70" s="25"/>
      <c r="N70" s="25"/>
    </row>
    <row r="71" spans="1:14" s="23" customFormat="1">
      <c r="A71" s="25"/>
      <c r="B71" s="29"/>
      <c r="C71" s="25"/>
      <c r="D71" s="349"/>
      <c r="E71" s="349"/>
      <c r="F71" s="349"/>
      <c r="G71" s="349"/>
      <c r="H71" s="349"/>
      <c r="I71" s="25"/>
      <c r="J71" s="25"/>
      <c r="K71" s="25"/>
      <c r="L71" s="25"/>
      <c r="M71" s="25"/>
      <c r="N71" s="25"/>
    </row>
    <row r="72" spans="1:14" s="23" customFormat="1">
      <c r="A72" s="25"/>
      <c r="B72" s="27"/>
      <c r="C72" s="28"/>
      <c r="D72" s="359"/>
      <c r="E72" s="359"/>
      <c r="F72" s="359"/>
      <c r="G72" s="359"/>
      <c r="H72" s="359"/>
      <c r="I72" s="28"/>
      <c r="J72" s="28"/>
      <c r="K72" s="28"/>
      <c r="L72" s="28"/>
      <c r="M72" s="28"/>
      <c r="N72" s="25"/>
    </row>
    <row r="73" spans="1:14" s="23" customFormat="1">
      <c r="A73" s="25"/>
      <c r="B73" s="29"/>
      <c r="C73" s="25"/>
      <c r="D73" s="349"/>
      <c r="E73" s="349"/>
      <c r="F73" s="349"/>
      <c r="G73" s="349"/>
      <c r="H73" s="349"/>
      <c r="I73" s="25"/>
      <c r="J73" s="25"/>
      <c r="K73" s="25"/>
      <c r="L73" s="25"/>
      <c r="M73" s="25"/>
      <c r="N73" s="25"/>
    </row>
    <row r="74" spans="1:14" s="23" customFormat="1">
      <c r="A74" s="25"/>
      <c r="B74" s="29"/>
      <c r="C74" s="25"/>
      <c r="D74" s="349"/>
      <c r="E74" s="349"/>
      <c r="F74" s="349"/>
      <c r="G74" s="349"/>
      <c r="H74" s="349"/>
      <c r="I74" s="25"/>
      <c r="J74" s="25"/>
      <c r="K74" s="25"/>
      <c r="L74" s="25"/>
      <c r="M74" s="25"/>
      <c r="N74" s="25"/>
    </row>
    <row r="75" spans="1:14" s="23" customFormat="1">
      <c r="A75" s="25"/>
      <c r="B75" s="29"/>
      <c r="C75" s="25"/>
      <c r="D75" s="349"/>
      <c r="E75" s="349"/>
      <c r="F75" s="349"/>
      <c r="G75" s="349"/>
      <c r="H75" s="349"/>
      <c r="I75" s="25"/>
      <c r="J75" s="25"/>
      <c r="K75" s="25"/>
      <c r="L75" s="25"/>
      <c r="M75" s="25"/>
      <c r="N75" s="25"/>
    </row>
    <row r="76" spans="1:14" s="23" customFormat="1">
      <c r="A76" s="25"/>
      <c r="B76" s="27"/>
      <c r="C76" s="28"/>
      <c r="D76" s="359"/>
      <c r="E76" s="359"/>
      <c r="F76" s="359"/>
      <c r="G76" s="359"/>
      <c r="H76" s="359"/>
      <c r="I76" s="28"/>
      <c r="J76" s="28"/>
      <c r="K76" s="28"/>
      <c r="L76" s="28"/>
      <c r="M76" s="28"/>
      <c r="N76" s="25"/>
    </row>
    <row r="77" spans="1:14" s="23" customFormat="1">
      <c r="A77" s="25"/>
      <c r="B77" s="29"/>
      <c r="C77" s="25"/>
      <c r="D77" s="349"/>
      <c r="E77" s="349"/>
      <c r="F77" s="349"/>
      <c r="G77" s="349"/>
      <c r="H77" s="349"/>
      <c r="I77" s="25"/>
      <c r="J77" s="25"/>
      <c r="K77" s="25"/>
      <c r="L77" s="25"/>
      <c r="M77" s="25"/>
      <c r="N77" s="25"/>
    </row>
    <row r="78" spans="1:14" s="23" customFormat="1">
      <c r="A78" s="25"/>
      <c r="B78" s="29"/>
      <c r="C78" s="25"/>
      <c r="D78" s="349"/>
      <c r="E78" s="349"/>
      <c r="F78" s="349"/>
      <c r="G78" s="349"/>
      <c r="H78" s="349"/>
      <c r="I78" s="25"/>
      <c r="J78" s="25"/>
      <c r="K78" s="25"/>
      <c r="L78" s="25"/>
      <c r="M78" s="25"/>
      <c r="N78" s="25"/>
    </row>
    <row r="79" spans="1:14" s="23" customFormat="1">
      <c r="A79" s="349"/>
      <c r="B79" s="363"/>
      <c r="C79" s="363"/>
      <c r="D79" s="363"/>
      <c r="E79" s="363"/>
      <c r="F79" s="363"/>
      <c r="G79" s="363"/>
      <c r="H79" s="363"/>
      <c r="I79" s="363"/>
      <c r="J79" s="363"/>
      <c r="K79" s="363"/>
      <c r="L79" s="363"/>
      <c r="M79" s="363"/>
      <c r="N79" s="363"/>
    </row>
    <row r="80" spans="1:14" s="23" customFormat="1">
      <c r="A80" s="349"/>
      <c r="B80" s="363"/>
      <c r="C80" s="363"/>
      <c r="D80" s="363"/>
      <c r="E80" s="363"/>
      <c r="F80" s="363"/>
      <c r="G80" s="363"/>
      <c r="H80" s="363"/>
      <c r="I80" s="363"/>
      <c r="J80" s="363"/>
      <c r="K80" s="363"/>
      <c r="L80" s="363"/>
      <c r="M80" s="363"/>
      <c r="N80" s="363"/>
    </row>
    <row r="81" spans="1:14" s="23" customFormat="1">
      <c r="A81" s="349"/>
      <c r="B81" s="27"/>
      <c r="C81" s="359"/>
      <c r="D81" s="359"/>
      <c r="E81" s="359"/>
      <c r="F81" s="359"/>
      <c r="G81" s="359"/>
      <c r="H81" s="359"/>
      <c r="I81" s="359"/>
      <c r="J81" s="359"/>
      <c r="K81" s="359"/>
      <c r="L81" s="359"/>
      <c r="M81" s="359"/>
      <c r="N81" s="349"/>
    </row>
    <row r="82" spans="1:14" s="23" customFormat="1">
      <c r="A82" s="349"/>
      <c r="B82" s="29"/>
      <c r="C82" s="359"/>
      <c r="D82" s="359"/>
      <c r="E82" s="359"/>
      <c r="F82" s="359"/>
      <c r="G82" s="359"/>
      <c r="H82" s="359"/>
      <c r="I82" s="359"/>
      <c r="J82" s="359"/>
      <c r="K82" s="359"/>
      <c r="L82" s="359"/>
      <c r="M82" s="359"/>
      <c r="N82" s="349"/>
    </row>
    <row r="83" spans="1:14" s="23" customFormat="1">
      <c r="A83" s="25"/>
      <c r="B83" s="29"/>
      <c r="C83" s="25"/>
      <c r="D83" s="349"/>
      <c r="E83" s="349"/>
      <c r="F83" s="349"/>
      <c r="G83" s="349"/>
      <c r="H83" s="349"/>
      <c r="I83" s="25"/>
      <c r="J83" s="25"/>
      <c r="K83" s="25"/>
      <c r="L83" s="25"/>
      <c r="M83" s="25"/>
      <c r="N83" s="25"/>
    </row>
    <row r="84" spans="1:14" s="23" customFormat="1">
      <c r="A84" s="25"/>
      <c r="B84" s="29"/>
      <c r="C84" s="25"/>
      <c r="D84" s="349"/>
      <c r="E84" s="349"/>
      <c r="F84" s="349"/>
      <c r="G84" s="349"/>
      <c r="H84" s="349"/>
      <c r="I84" s="25"/>
      <c r="J84" s="25"/>
      <c r="K84" s="25"/>
      <c r="L84" s="25"/>
      <c r="M84" s="25"/>
      <c r="N84" s="25"/>
    </row>
    <row r="85" spans="1:14" s="23" customFormat="1">
      <c r="A85" s="25"/>
      <c r="B85" s="29"/>
      <c r="C85" s="25"/>
      <c r="D85" s="349"/>
      <c r="E85" s="349"/>
      <c r="F85" s="349"/>
      <c r="G85" s="349"/>
      <c r="H85" s="349"/>
      <c r="I85" s="25"/>
      <c r="J85" s="25"/>
      <c r="K85" s="25"/>
      <c r="L85" s="25"/>
      <c r="M85" s="25"/>
      <c r="N85" s="25"/>
    </row>
    <row r="86" spans="1:14" s="23" customFormat="1">
      <c r="A86" s="25"/>
      <c r="B86" s="359"/>
      <c r="C86" s="359"/>
      <c r="D86" s="359"/>
      <c r="E86" s="359"/>
      <c r="F86" s="359"/>
      <c r="G86" s="359"/>
      <c r="H86" s="359"/>
      <c r="I86" s="359"/>
      <c r="J86" s="359"/>
      <c r="K86" s="359"/>
      <c r="L86" s="359"/>
      <c r="M86" s="359"/>
      <c r="N86" s="25"/>
    </row>
    <row r="87" spans="1:14" s="23" customFormat="1">
      <c r="A87" s="25"/>
      <c r="B87" s="27"/>
      <c r="C87" s="28"/>
      <c r="D87" s="359"/>
      <c r="E87" s="359"/>
      <c r="F87" s="359"/>
      <c r="G87" s="359"/>
      <c r="H87" s="359"/>
      <c r="I87" s="28"/>
      <c r="J87" s="28"/>
      <c r="K87" s="28"/>
      <c r="L87" s="28"/>
      <c r="M87" s="28"/>
      <c r="N87" s="25"/>
    </row>
    <row r="88" spans="1:14" s="23" customFormat="1">
      <c r="A88" s="25"/>
      <c r="B88" s="29"/>
      <c r="C88" s="25"/>
      <c r="D88" s="349"/>
      <c r="E88" s="349"/>
      <c r="F88" s="349"/>
      <c r="G88" s="349"/>
      <c r="H88" s="349"/>
      <c r="I88" s="25"/>
      <c r="J88" s="25"/>
      <c r="K88" s="25"/>
      <c r="L88" s="25"/>
      <c r="M88" s="25"/>
      <c r="N88" s="25"/>
    </row>
    <row r="89" spans="1:14" s="23" customFormat="1">
      <c r="A89" s="25"/>
      <c r="B89" s="29"/>
      <c r="C89" s="25"/>
      <c r="D89" s="349"/>
      <c r="E89" s="349"/>
      <c r="F89" s="349"/>
      <c r="G89" s="349"/>
      <c r="H89" s="349"/>
      <c r="I89" s="25"/>
      <c r="J89" s="25"/>
      <c r="K89" s="25"/>
      <c r="L89" s="25"/>
      <c r="M89" s="25"/>
      <c r="N89" s="25"/>
    </row>
    <row r="90" spans="1:14" s="23" customFormat="1">
      <c r="A90" s="25"/>
      <c r="B90" s="29"/>
      <c r="C90" s="25"/>
      <c r="D90" s="349"/>
      <c r="E90" s="349"/>
      <c r="F90" s="349"/>
      <c r="G90" s="349"/>
      <c r="H90" s="349"/>
      <c r="I90" s="25"/>
      <c r="J90" s="25"/>
      <c r="K90" s="25"/>
      <c r="L90" s="25"/>
      <c r="M90" s="25"/>
      <c r="N90" s="25"/>
    </row>
    <row r="91" spans="1:14" s="23" customFormat="1">
      <c r="A91" s="25"/>
      <c r="B91" s="25"/>
      <c r="C91" s="25"/>
      <c r="D91" s="349"/>
      <c r="E91" s="349"/>
      <c r="F91" s="349"/>
      <c r="G91" s="349"/>
      <c r="H91" s="349"/>
      <c r="I91" s="25"/>
      <c r="J91" s="25"/>
      <c r="K91" s="25"/>
      <c r="L91" s="25"/>
      <c r="M91" s="25"/>
      <c r="N91" s="25"/>
    </row>
    <row r="92" spans="1:14" s="23" customFormat="1">
      <c r="A92" s="25"/>
      <c r="B92" s="359"/>
      <c r="C92" s="359"/>
      <c r="D92" s="359"/>
      <c r="E92" s="359"/>
      <c r="F92" s="359"/>
      <c r="G92" s="359"/>
      <c r="H92" s="359"/>
      <c r="I92" s="359"/>
      <c r="J92" s="359"/>
      <c r="K92" s="359"/>
      <c r="L92" s="359"/>
      <c r="M92" s="359"/>
      <c r="N92" s="25"/>
    </row>
    <row r="93" spans="1:14" s="23" customFormat="1">
      <c r="A93" s="349"/>
      <c r="B93" s="27"/>
      <c r="C93" s="359"/>
      <c r="D93" s="359"/>
      <c r="E93" s="359"/>
      <c r="F93" s="359"/>
      <c r="G93" s="359"/>
      <c r="H93" s="359"/>
      <c r="I93" s="359"/>
      <c r="J93" s="359"/>
      <c r="K93" s="359"/>
      <c r="L93" s="359"/>
      <c r="M93" s="359"/>
      <c r="N93" s="349"/>
    </row>
    <row r="94" spans="1:14" s="23" customFormat="1">
      <c r="A94" s="349"/>
      <c r="B94" s="29"/>
      <c r="C94" s="359"/>
      <c r="D94" s="359"/>
      <c r="E94" s="359"/>
      <c r="F94" s="359"/>
      <c r="G94" s="359"/>
      <c r="H94" s="359"/>
      <c r="I94" s="359"/>
      <c r="J94" s="359"/>
      <c r="K94" s="359"/>
      <c r="L94" s="359"/>
      <c r="M94" s="359"/>
      <c r="N94" s="349"/>
    </row>
    <row r="95" spans="1:14" s="23" customFormat="1">
      <c r="A95" s="25"/>
      <c r="B95" s="29"/>
      <c r="C95" s="25"/>
      <c r="D95" s="349"/>
      <c r="E95" s="349"/>
      <c r="F95" s="349"/>
      <c r="G95" s="349"/>
      <c r="H95" s="349"/>
      <c r="I95" s="25"/>
      <c r="J95" s="25"/>
      <c r="K95" s="25"/>
      <c r="L95" s="25"/>
      <c r="M95" s="25"/>
      <c r="N95" s="25"/>
    </row>
    <row r="96" spans="1:14" s="23" customFormat="1">
      <c r="A96" s="25"/>
      <c r="B96" s="29"/>
      <c r="C96" s="25"/>
      <c r="D96" s="349"/>
      <c r="E96" s="349"/>
      <c r="F96" s="349"/>
      <c r="G96" s="349"/>
      <c r="H96" s="349"/>
      <c r="I96" s="25"/>
      <c r="J96" s="25"/>
      <c r="K96" s="25"/>
      <c r="L96" s="25"/>
      <c r="M96" s="25"/>
      <c r="N96" s="25"/>
    </row>
    <row r="97" spans="1:14" s="23" customFormat="1">
      <c r="A97" s="25"/>
      <c r="B97" s="29"/>
      <c r="C97" s="25"/>
      <c r="D97" s="349"/>
      <c r="E97" s="349"/>
      <c r="F97" s="349"/>
      <c r="G97" s="349"/>
      <c r="H97" s="349"/>
      <c r="I97" s="25"/>
      <c r="J97" s="25"/>
      <c r="K97" s="25"/>
      <c r="L97" s="25"/>
      <c r="M97" s="25"/>
      <c r="N97" s="25"/>
    </row>
    <row r="98" spans="1:14" s="23" customFormat="1">
      <c r="A98" s="25"/>
      <c r="B98" s="29"/>
      <c r="C98" s="25"/>
      <c r="D98" s="349"/>
      <c r="E98" s="349"/>
      <c r="F98" s="349"/>
      <c r="G98" s="349"/>
      <c r="H98" s="349"/>
      <c r="I98" s="25"/>
      <c r="J98" s="25"/>
      <c r="K98" s="25"/>
      <c r="L98" s="25"/>
      <c r="M98" s="25"/>
      <c r="N98" s="25"/>
    </row>
    <row r="99" spans="1:14" s="23" customFormat="1">
      <c r="A99" s="25"/>
      <c r="B99" s="29"/>
      <c r="C99" s="25"/>
      <c r="D99" s="349"/>
      <c r="E99" s="349"/>
      <c r="F99" s="349"/>
      <c r="G99" s="349"/>
      <c r="H99" s="349"/>
      <c r="I99" s="25"/>
      <c r="J99" s="25"/>
      <c r="K99" s="25"/>
      <c r="L99" s="25"/>
      <c r="M99" s="25"/>
      <c r="N99" s="25"/>
    </row>
    <row r="100" spans="1:14" s="23" customFormat="1">
      <c r="A100" s="25"/>
      <c r="B100" s="359"/>
      <c r="C100" s="359"/>
      <c r="D100" s="359"/>
      <c r="E100" s="359"/>
      <c r="F100" s="359"/>
      <c r="G100" s="359"/>
      <c r="H100" s="359"/>
      <c r="I100" s="359"/>
      <c r="J100" s="359"/>
      <c r="K100" s="359"/>
      <c r="L100" s="359"/>
      <c r="M100" s="359"/>
      <c r="N100" s="25"/>
    </row>
    <row r="101" spans="1:14" s="23" customFormat="1">
      <c r="A101" s="25"/>
      <c r="B101" s="29"/>
      <c r="C101" s="25"/>
      <c r="D101" s="349"/>
      <c r="E101" s="349"/>
      <c r="F101" s="349"/>
      <c r="G101" s="349"/>
      <c r="H101" s="349"/>
      <c r="I101" s="25"/>
      <c r="J101" s="25"/>
      <c r="K101" s="25"/>
      <c r="L101" s="25"/>
      <c r="M101" s="25"/>
      <c r="N101" s="25"/>
    </row>
    <row r="102" spans="1:14" s="23" customFormat="1">
      <c r="A102" s="25"/>
      <c r="B102" s="29"/>
      <c r="C102" s="25"/>
      <c r="D102" s="349"/>
      <c r="E102" s="349"/>
      <c r="F102" s="349"/>
      <c r="G102" s="349"/>
      <c r="H102" s="349"/>
      <c r="I102" s="25"/>
      <c r="J102" s="25"/>
      <c r="K102" s="25"/>
      <c r="L102" s="25"/>
      <c r="M102" s="25"/>
      <c r="N102" s="25"/>
    </row>
    <row r="103" spans="1:14" s="23" customFormat="1">
      <c r="A103" s="25"/>
      <c r="B103" s="359"/>
      <c r="C103" s="359"/>
      <c r="D103" s="359"/>
      <c r="E103" s="359"/>
      <c r="F103" s="359"/>
      <c r="G103" s="359"/>
      <c r="H103" s="359"/>
      <c r="I103" s="359"/>
      <c r="J103" s="359"/>
      <c r="K103" s="359"/>
      <c r="L103" s="359"/>
      <c r="M103" s="359"/>
      <c r="N103" s="25"/>
    </row>
    <row r="104" spans="1:14" s="23" customFormat="1">
      <c r="A104" s="349"/>
      <c r="B104" s="27"/>
      <c r="C104" s="359"/>
      <c r="D104" s="359"/>
      <c r="E104" s="359"/>
      <c r="F104" s="359"/>
      <c r="G104" s="359"/>
      <c r="H104" s="359"/>
      <c r="I104" s="359"/>
      <c r="J104" s="359"/>
      <c r="K104" s="359"/>
      <c r="L104" s="359"/>
      <c r="M104" s="349"/>
      <c r="N104" s="349"/>
    </row>
    <row r="105" spans="1:14" s="23" customFormat="1">
      <c r="A105" s="349"/>
      <c r="B105" s="27"/>
      <c r="C105" s="359"/>
      <c r="D105" s="359"/>
      <c r="E105" s="359"/>
      <c r="F105" s="359"/>
      <c r="G105" s="359"/>
      <c r="H105" s="359"/>
      <c r="I105" s="359"/>
      <c r="J105" s="359"/>
      <c r="K105" s="359"/>
      <c r="L105" s="359"/>
      <c r="M105" s="349"/>
      <c r="N105" s="349"/>
    </row>
    <row r="106" spans="1:14" s="23" customFormat="1">
      <c r="A106" s="349"/>
      <c r="B106" s="29"/>
      <c r="C106" s="359"/>
      <c r="D106" s="359"/>
      <c r="E106" s="359"/>
      <c r="F106" s="359"/>
      <c r="G106" s="359"/>
      <c r="H106" s="359"/>
      <c r="I106" s="359"/>
      <c r="J106" s="359"/>
      <c r="K106" s="359"/>
      <c r="L106" s="359"/>
      <c r="M106" s="349"/>
      <c r="N106" s="349"/>
    </row>
    <row r="107" spans="1:14" s="23" customFormat="1">
      <c r="A107" s="25"/>
      <c r="B107" s="29"/>
      <c r="C107" s="25"/>
      <c r="D107" s="349"/>
      <c r="E107" s="349"/>
      <c r="F107" s="349"/>
      <c r="G107" s="349"/>
      <c r="H107" s="349"/>
      <c r="I107" s="25"/>
      <c r="J107" s="25"/>
      <c r="K107" s="25"/>
      <c r="L107" s="25"/>
      <c r="M107" s="25"/>
      <c r="N107" s="25"/>
    </row>
    <row r="108" spans="1:14" s="23" customFormat="1">
      <c r="A108" s="25"/>
      <c r="B108" s="29"/>
      <c r="C108" s="25"/>
      <c r="D108" s="349"/>
      <c r="E108" s="349"/>
      <c r="F108" s="349"/>
      <c r="G108" s="349"/>
      <c r="H108" s="349"/>
      <c r="I108" s="25"/>
      <c r="J108" s="25"/>
      <c r="K108" s="25"/>
      <c r="L108" s="25"/>
      <c r="M108" s="25"/>
      <c r="N108" s="25"/>
    </row>
    <row r="109" spans="1:14" s="23" customFormat="1">
      <c r="A109" s="349"/>
      <c r="B109" s="29"/>
      <c r="C109" s="349"/>
      <c r="D109" s="349"/>
      <c r="E109" s="349"/>
      <c r="F109" s="349"/>
      <c r="G109" s="349"/>
      <c r="H109" s="349"/>
      <c r="I109" s="349"/>
      <c r="J109" s="349"/>
      <c r="K109" s="349"/>
      <c r="L109" s="349"/>
      <c r="M109" s="349"/>
      <c r="N109" s="349"/>
    </row>
    <row r="110" spans="1:14" s="23" customFormat="1">
      <c r="A110" s="349"/>
      <c r="B110" s="29"/>
      <c r="C110" s="349"/>
      <c r="D110" s="349"/>
      <c r="E110" s="349"/>
      <c r="F110" s="349"/>
      <c r="G110" s="349"/>
      <c r="H110" s="349"/>
      <c r="I110" s="349"/>
      <c r="J110" s="349"/>
      <c r="K110" s="349"/>
      <c r="L110" s="349"/>
      <c r="M110" s="349"/>
      <c r="N110" s="349"/>
    </row>
    <row r="111" spans="1:14" s="23" customFormat="1">
      <c r="A111" s="25"/>
      <c r="B111" s="29"/>
      <c r="C111" s="25"/>
      <c r="D111" s="349"/>
      <c r="E111" s="349"/>
      <c r="F111" s="349"/>
      <c r="G111" s="349"/>
      <c r="H111" s="349"/>
      <c r="I111" s="25"/>
      <c r="J111" s="25"/>
      <c r="K111" s="25"/>
      <c r="L111" s="25"/>
      <c r="M111" s="25"/>
      <c r="N111" s="25"/>
    </row>
    <row r="112" spans="1:14" s="23" customFormat="1">
      <c r="A112" s="25"/>
      <c r="B112" s="29"/>
      <c r="C112" s="25"/>
      <c r="D112" s="349"/>
      <c r="E112" s="349"/>
      <c r="F112" s="349"/>
      <c r="G112" s="349"/>
      <c r="H112" s="349"/>
      <c r="I112" s="25"/>
      <c r="J112" s="25"/>
      <c r="K112" s="25"/>
      <c r="L112" s="25"/>
      <c r="M112" s="25"/>
      <c r="N112" s="25"/>
    </row>
    <row r="113" spans="1:14" s="23" customFormat="1">
      <c r="A113" s="25"/>
      <c r="B113" s="29"/>
      <c r="C113" s="25"/>
      <c r="D113" s="349"/>
      <c r="E113" s="349"/>
      <c r="F113" s="349"/>
      <c r="G113" s="349"/>
      <c r="H113" s="349"/>
      <c r="I113" s="25"/>
      <c r="J113" s="25"/>
      <c r="K113" s="25"/>
      <c r="L113" s="25"/>
      <c r="M113" s="25"/>
      <c r="N113" s="25"/>
    </row>
    <row r="114" spans="1:14" s="23" customFormat="1">
      <c r="A114" s="25"/>
      <c r="B114" s="29"/>
      <c r="C114" s="25"/>
      <c r="D114" s="349"/>
      <c r="E114" s="349"/>
      <c r="F114" s="349"/>
      <c r="G114" s="349"/>
      <c r="H114" s="349"/>
      <c r="I114" s="25"/>
      <c r="J114" s="25"/>
      <c r="K114" s="25"/>
      <c r="L114" s="25"/>
      <c r="M114" s="25"/>
      <c r="N114" s="25"/>
    </row>
    <row r="115" spans="1:14" s="23" customFormat="1" ht="15.75">
      <c r="A115" s="25"/>
      <c r="B115" s="363"/>
      <c r="C115" s="363"/>
      <c r="D115" s="363"/>
      <c r="E115" s="363"/>
      <c r="F115" s="363"/>
      <c r="G115" s="363"/>
      <c r="H115" s="363"/>
      <c r="I115" s="363"/>
      <c r="J115" s="363"/>
      <c r="K115" s="363"/>
      <c r="L115" s="363"/>
      <c r="M115" s="363"/>
      <c r="N115" s="363"/>
    </row>
    <row r="116" spans="1:14" s="23" customFormat="1">
      <c r="A116" s="349"/>
      <c r="B116" s="27"/>
      <c r="C116" s="359"/>
      <c r="D116" s="359"/>
      <c r="E116" s="359"/>
      <c r="F116" s="359"/>
      <c r="G116" s="359"/>
      <c r="H116" s="359"/>
      <c r="I116" s="359"/>
      <c r="J116" s="359"/>
      <c r="K116" s="359"/>
      <c r="L116" s="359"/>
      <c r="M116" s="359"/>
      <c r="N116" s="349"/>
    </row>
    <row r="117" spans="1:14" s="23" customFormat="1">
      <c r="A117" s="349"/>
      <c r="B117" s="27"/>
      <c r="C117" s="359"/>
      <c r="D117" s="359"/>
      <c r="E117" s="359"/>
      <c r="F117" s="359"/>
      <c r="G117" s="359"/>
      <c r="H117" s="359"/>
      <c r="I117" s="359"/>
      <c r="J117" s="359"/>
      <c r="K117" s="359"/>
      <c r="L117" s="359"/>
      <c r="M117" s="359"/>
      <c r="N117" s="349"/>
    </row>
    <row r="118" spans="1:14" s="23" customFormat="1">
      <c r="A118" s="25"/>
      <c r="B118" s="29"/>
      <c r="C118" s="25"/>
      <c r="D118" s="349"/>
      <c r="E118" s="349"/>
      <c r="F118" s="349"/>
      <c r="G118" s="349"/>
      <c r="H118" s="349"/>
      <c r="I118" s="25"/>
      <c r="J118" s="25"/>
      <c r="K118" s="25"/>
      <c r="L118" s="25"/>
      <c r="M118" s="25"/>
      <c r="N118" s="25"/>
    </row>
    <row r="119" spans="1:14" s="23" customFormat="1">
      <c r="A119" s="25"/>
      <c r="B119" s="29"/>
      <c r="C119" s="25"/>
      <c r="D119" s="349"/>
      <c r="E119" s="349"/>
      <c r="F119" s="349"/>
      <c r="G119" s="349"/>
      <c r="H119" s="349"/>
      <c r="I119" s="25"/>
      <c r="J119" s="25"/>
      <c r="K119" s="25"/>
      <c r="L119" s="25"/>
      <c r="M119" s="25"/>
      <c r="N119" s="25"/>
    </row>
    <row r="120" spans="1:14" s="23" customFormat="1">
      <c r="A120" s="25"/>
      <c r="B120" s="29"/>
      <c r="C120" s="25"/>
      <c r="D120" s="349"/>
      <c r="E120" s="349"/>
      <c r="F120" s="349"/>
      <c r="G120" s="349"/>
      <c r="H120" s="349"/>
      <c r="I120" s="25"/>
      <c r="J120" s="25"/>
      <c r="K120" s="25"/>
      <c r="L120" s="25"/>
      <c r="M120" s="25"/>
      <c r="N120" s="25"/>
    </row>
    <row r="121" spans="1:14" s="23" customFormat="1">
      <c r="A121" s="31"/>
      <c r="B121" s="345"/>
      <c r="C121" s="345"/>
      <c r="D121" s="345"/>
      <c r="E121" s="345"/>
      <c r="F121" s="345"/>
      <c r="G121" s="345"/>
      <c r="H121" s="345"/>
      <c r="I121" s="345"/>
      <c r="J121" s="345"/>
      <c r="K121" s="345"/>
      <c r="L121" s="345"/>
      <c r="M121" s="345"/>
      <c r="N121" s="25"/>
    </row>
    <row r="122" spans="1:14" s="23" customFormat="1" ht="14.25">
      <c r="A122" s="25"/>
      <c r="B122" s="27"/>
      <c r="C122" s="33"/>
      <c r="D122" s="352"/>
      <c r="E122" s="352"/>
      <c r="F122" s="352"/>
      <c r="G122" s="352"/>
      <c r="H122" s="352"/>
      <c r="I122" s="33"/>
      <c r="J122" s="33"/>
      <c r="K122" s="33"/>
      <c r="L122" s="33"/>
      <c r="M122" s="33"/>
      <c r="N122" s="25"/>
    </row>
    <row r="123" spans="1:14" s="23" customFormat="1" ht="15">
      <c r="A123" s="25"/>
      <c r="B123" s="29"/>
      <c r="C123" s="34"/>
      <c r="D123" s="362"/>
      <c r="E123" s="362"/>
      <c r="F123" s="362"/>
      <c r="G123" s="362"/>
      <c r="H123" s="362"/>
      <c r="I123" s="34"/>
      <c r="J123" s="34"/>
      <c r="K123" s="34"/>
      <c r="L123" s="34"/>
      <c r="M123" s="34"/>
      <c r="N123" s="25"/>
    </row>
    <row r="124" spans="1:14" s="23" customFormat="1" ht="15">
      <c r="A124" s="25"/>
      <c r="B124" s="29"/>
      <c r="C124" s="34"/>
      <c r="D124" s="362"/>
      <c r="E124" s="362"/>
      <c r="F124" s="362"/>
      <c r="G124" s="362"/>
      <c r="H124" s="362"/>
      <c r="I124" s="34"/>
      <c r="J124" s="34"/>
      <c r="K124" s="34"/>
      <c r="L124" s="34"/>
      <c r="M124" s="34"/>
      <c r="N124" s="25"/>
    </row>
    <row r="125" spans="1:14" s="23" customFormat="1">
      <c r="A125" s="25"/>
      <c r="B125" s="29"/>
      <c r="C125" s="25"/>
      <c r="D125" s="349"/>
      <c r="E125" s="349"/>
      <c r="F125" s="349"/>
      <c r="G125" s="349"/>
      <c r="H125" s="349"/>
      <c r="I125" s="25"/>
      <c r="J125" s="25"/>
      <c r="K125" s="25"/>
      <c r="L125" s="25"/>
      <c r="M125" s="25"/>
      <c r="N125" s="25"/>
    </row>
    <row r="126" spans="1:14" s="23" customFormat="1">
      <c r="A126" s="25"/>
      <c r="B126" s="25"/>
      <c r="C126" s="25"/>
      <c r="D126" s="349"/>
      <c r="E126" s="349"/>
      <c r="F126" s="349"/>
      <c r="G126" s="349"/>
      <c r="H126" s="349"/>
      <c r="I126" s="25"/>
      <c r="J126" s="25"/>
      <c r="K126" s="25"/>
      <c r="L126" s="25"/>
      <c r="M126" s="25"/>
      <c r="N126" s="25"/>
    </row>
    <row r="127" spans="1:14" s="23" customFormat="1">
      <c r="A127" s="25"/>
      <c r="B127" s="359"/>
      <c r="C127" s="359"/>
      <c r="D127" s="359"/>
      <c r="E127" s="359"/>
      <c r="F127" s="359"/>
      <c r="G127" s="359"/>
      <c r="H127" s="359"/>
      <c r="I127" s="359"/>
      <c r="J127" s="359"/>
      <c r="K127" s="359"/>
      <c r="L127" s="359"/>
      <c r="M127" s="359"/>
      <c r="N127" s="25"/>
    </row>
    <row r="128" spans="1:14" s="23" customFormat="1">
      <c r="A128" s="349"/>
      <c r="B128" s="27"/>
      <c r="C128" s="359"/>
      <c r="D128" s="359"/>
      <c r="E128" s="359"/>
      <c r="F128" s="359"/>
      <c r="G128" s="359"/>
      <c r="H128" s="359"/>
      <c r="I128" s="359"/>
      <c r="J128" s="359"/>
      <c r="K128" s="359"/>
      <c r="L128" s="359"/>
      <c r="M128" s="359"/>
      <c r="N128" s="349"/>
    </row>
    <row r="129" spans="1:14" s="23" customFormat="1">
      <c r="A129" s="349"/>
      <c r="B129" s="29"/>
      <c r="C129" s="359"/>
      <c r="D129" s="359"/>
      <c r="E129" s="359"/>
      <c r="F129" s="359"/>
      <c r="G129" s="359"/>
      <c r="H129" s="359"/>
      <c r="I129" s="359"/>
      <c r="J129" s="359"/>
      <c r="K129" s="359"/>
      <c r="L129" s="359"/>
      <c r="M129" s="359"/>
      <c r="N129" s="349"/>
    </row>
    <row r="130" spans="1:14" s="23" customFormat="1">
      <c r="A130" s="25"/>
      <c r="B130" s="29"/>
      <c r="C130" s="25"/>
      <c r="D130" s="349"/>
      <c r="E130" s="349"/>
      <c r="F130" s="349"/>
      <c r="G130" s="349"/>
      <c r="H130" s="349"/>
      <c r="I130" s="25"/>
      <c r="J130" s="25"/>
      <c r="K130" s="25"/>
      <c r="L130" s="25"/>
      <c r="M130" s="25"/>
      <c r="N130" s="25"/>
    </row>
    <row r="131" spans="1:14" s="23" customFormat="1">
      <c r="A131" s="25"/>
      <c r="B131" s="29"/>
      <c r="C131" s="25"/>
      <c r="D131" s="349"/>
      <c r="E131" s="349"/>
      <c r="F131" s="349"/>
      <c r="G131" s="349"/>
      <c r="H131" s="349"/>
      <c r="I131" s="25"/>
      <c r="J131" s="25"/>
      <c r="K131" s="25"/>
      <c r="L131" s="25"/>
      <c r="M131" s="25"/>
      <c r="N131" s="25"/>
    </row>
    <row r="132" spans="1:14" s="23" customFormat="1">
      <c r="A132" s="25"/>
      <c r="B132" s="359"/>
      <c r="C132" s="359"/>
      <c r="D132" s="359"/>
      <c r="E132" s="359"/>
      <c r="F132" s="359"/>
      <c r="G132" s="359"/>
      <c r="H132" s="359"/>
      <c r="I132" s="359"/>
      <c r="J132" s="359"/>
      <c r="K132" s="359"/>
      <c r="L132" s="359"/>
      <c r="M132" s="359"/>
      <c r="N132" s="25"/>
    </row>
    <row r="133" spans="1:14" s="23" customFormat="1">
      <c r="A133" s="349"/>
      <c r="B133" s="27"/>
      <c r="C133" s="359"/>
      <c r="D133" s="359"/>
      <c r="E133" s="359"/>
      <c r="F133" s="359"/>
      <c r="G133" s="359"/>
      <c r="H133" s="359"/>
      <c r="I133" s="359"/>
      <c r="J133" s="359"/>
      <c r="K133" s="359"/>
      <c r="L133" s="359"/>
      <c r="M133" s="359"/>
      <c r="N133" s="349"/>
    </row>
    <row r="134" spans="1:14" s="23" customFormat="1">
      <c r="A134" s="349"/>
      <c r="B134" s="27"/>
      <c r="C134" s="359"/>
      <c r="D134" s="359"/>
      <c r="E134" s="359"/>
      <c r="F134" s="359"/>
      <c r="G134" s="359"/>
      <c r="H134" s="359"/>
      <c r="I134" s="359"/>
      <c r="J134" s="359"/>
      <c r="K134" s="359"/>
      <c r="L134" s="359"/>
      <c r="M134" s="359"/>
      <c r="N134" s="349"/>
    </row>
    <row r="135" spans="1:14" s="23" customFormat="1">
      <c r="A135" s="349"/>
      <c r="B135" s="29"/>
      <c r="C135" s="359"/>
      <c r="D135" s="359"/>
      <c r="E135" s="359"/>
      <c r="F135" s="359"/>
      <c r="G135" s="359"/>
      <c r="H135" s="359"/>
      <c r="I135" s="359"/>
      <c r="J135" s="359"/>
      <c r="K135" s="359"/>
      <c r="L135" s="359"/>
      <c r="M135" s="359"/>
      <c r="N135" s="349"/>
    </row>
    <row r="136" spans="1:14" s="23" customFormat="1">
      <c r="A136" s="25"/>
      <c r="B136" s="29"/>
      <c r="C136" s="25"/>
      <c r="D136" s="349"/>
      <c r="E136" s="349"/>
      <c r="F136" s="349"/>
      <c r="G136" s="349"/>
      <c r="H136" s="349"/>
      <c r="I136" s="25"/>
      <c r="J136" s="25"/>
      <c r="K136" s="25"/>
      <c r="L136" s="25"/>
      <c r="M136" s="25"/>
      <c r="N136" s="25"/>
    </row>
    <row r="137" spans="1:14" s="23" customFormat="1">
      <c r="A137" s="25"/>
      <c r="B137" s="29"/>
      <c r="C137" s="25"/>
      <c r="D137" s="349"/>
      <c r="E137" s="349"/>
      <c r="F137" s="349"/>
      <c r="G137" s="349"/>
      <c r="H137" s="349"/>
      <c r="I137" s="25"/>
      <c r="J137" s="25"/>
      <c r="K137" s="25"/>
      <c r="L137" s="25"/>
      <c r="M137" s="25"/>
      <c r="N137" s="25"/>
    </row>
    <row r="138" spans="1:14" s="23" customFormat="1">
      <c r="A138" s="25"/>
      <c r="B138" s="29"/>
      <c r="C138" s="25"/>
      <c r="D138" s="349"/>
      <c r="E138" s="349"/>
      <c r="F138" s="349"/>
      <c r="G138" s="349"/>
      <c r="H138" s="349"/>
      <c r="I138" s="25"/>
      <c r="J138" s="25"/>
      <c r="K138" s="25"/>
      <c r="L138" s="25"/>
      <c r="M138" s="25"/>
      <c r="N138" s="25"/>
    </row>
    <row r="139" spans="1:14" s="23" customFormat="1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</row>
    <row r="140" spans="1:14" s="23" customFormat="1" ht="18.75">
      <c r="A140" s="24"/>
    </row>
    <row r="141" spans="1:14" s="23" customFormat="1" ht="15">
      <c r="A141" s="36"/>
    </row>
    <row r="142" spans="1:14" s="23" customFormat="1" ht="15">
      <c r="A142" s="36"/>
    </row>
    <row r="143" spans="1:14" s="23" customFormat="1"/>
    <row r="144" spans="1:14" s="23" customFormat="1" ht="15.75">
      <c r="A144" s="22"/>
    </row>
    <row r="145" spans="1:11" s="23" customFormat="1" ht="15.75">
      <c r="A145" s="22"/>
    </row>
    <row r="146" spans="1:11" s="23" customFormat="1" ht="15.75">
      <c r="A146" s="22"/>
    </row>
    <row r="147" spans="1:11" s="23" customFormat="1" ht="15.75">
      <c r="A147" s="22"/>
    </row>
    <row r="148" spans="1:11" s="23" customFormat="1" ht="15.75">
      <c r="A148" s="38"/>
    </row>
    <row r="149" spans="1:11" s="23" customFormat="1" ht="15.75">
      <c r="A149" s="38"/>
    </row>
    <row r="150" spans="1:11" s="23" customFormat="1" ht="15.75">
      <c r="A150" s="38"/>
    </row>
    <row r="151" spans="1:11" s="23" customFormat="1" ht="15.75">
      <c r="A151" s="38"/>
    </row>
    <row r="152" spans="1:11" s="23" customFormat="1" ht="15.75">
      <c r="A152" s="38"/>
    </row>
    <row r="153" spans="1:11" s="23" customFormat="1" ht="15.75">
      <c r="A153" s="38"/>
    </row>
    <row r="154" spans="1:11" s="23" customFormat="1" ht="15">
      <c r="A154" s="37"/>
      <c r="B154" s="37"/>
      <c r="C154" s="361"/>
      <c r="D154" s="361"/>
      <c r="E154" s="361"/>
      <c r="F154" s="361"/>
      <c r="G154" s="361"/>
      <c r="H154" s="361"/>
      <c r="I154" s="361"/>
      <c r="J154" s="361"/>
      <c r="K154" s="361"/>
    </row>
    <row r="155" spans="1:11" s="23" customFormat="1" ht="15">
      <c r="A155" s="37"/>
      <c r="B155" s="37"/>
      <c r="C155" s="361"/>
      <c r="D155" s="361"/>
      <c r="E155" s="361"/>
      <c r="F155" s="361"/>
      <c r="G155" s="361"/>
      <c r="H155" s="361"/>
      <c r="I155" s="361"/>
      <c r="J155" s="361"/>
      <c r="K155" s="361"/>
    </row>
    <row r="156" spans="1:11" s="23" customFormat="1" ht="15">
      <c r="A156" s="39"/>
      <c r="B156" s="39"/>
      <c r="C156" s="361"/>
      <c r="D156" s="361"/>
      <c r="E156" s="37"/>
      <c r="F156" s="37"/>
      <c r="G156" s="37"/>
      <c r="H156" s="37"/>
      <c r="I156" s="37"/>
      <c r="J156" s="37"/>
      <c r="K156" s="37"/>
    </row>
    <row r="157" spans="1:11" s="23" customFormat="1" ht="15">
      <c r="A157" s="39"/>
      <c r="B157" s="39"/>
      <c r="C157" s="361"/>
      <c r="D157" s="361"/>
      <c r="E157" s="37"/>
      <c r="F157" s="37"/>
      <c r="G157" s="37"/>
      <c r="H157" s="37"/>
      <c r="I157" s="37"/>
      <c r="J157" s="37"/>
      <c r="K157" s="37"/>
    </row>
    <row r="158" spans="1:11" s="23" customFormat="1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</row>
    <row r="159" spans="1:11" s="23" customFormat="1" ht="14.25">
      <c r="A159" s="343"/>
      <c r="B159" s="41"/>
      <c r="C159" s="343"/>
      <c r="D159" s="343"/>
      <c r="E159" s="343"/>
      <c r="F159" s="343"/>
      <c r="G159" s="343"/>
      <c r="H159" s="343"/>
      <c r="I159" s="343"/>
      <c r="J159" s="343"/>
      <c r="K159" s="343"/>
    </row>
    <row r="160" spans="1:11" s="23" customFormat="1" ht="14.25">
      <c r="A160" s="343"/>
      <c r="B160" s="41"/>
      <c r="C160" s="343"/>
      <c r="D160" s="343"/>
      <c r="E160" s="343"/>
      <c r="F160" s="343"/>
      <c r="G160" s="343"/>
      <c r="H160" s="343"/>
      <c r="I160" s="343"/>
      <c r="J160" s="343"/>
      <c r="K160" s="343"/>
    </row>
    <row r="161" spans="1:11" s="23" customFormat="1" ht="14.25">
      <c r="A161" s="343"/>
      <c r="B161" s="41"/>
      <c r="C161" s="343"/>
      <c r="D161" s="343"/>
      <c r="E161" s="343"/>
      <c r="F161" s="343"/>
      <c r="G161" s="343"/>
      <c r="H161" s="343"/>
      <c r="I161" s="343"/>
      <c r="J161" s="343"/>
      <c r="K161" s="343"/>
    </row>
    <row r="162" spans="1:11" s="23" customFormat="1" ht="88.5" customHeight="1">
      <c r="A162" s="360"/>
      <c r="B162" s="357"/>
      <c r="C162" s="349"/>
      <c r="D162" s="349"/>
      <c r="E162" s="349"/>
      <c r="F162" s="349"/>
      <c r="G162" s="349"/>
      <c r="H162" s="349"/>
      <c r="I162" s="349"/>
      <c r="J162" s="349"/>
      <c r="K162" s="349"/>
    </row>
    <row r="163" spans="1:11" s="23" customFormat="1">
      <c r="A163" s="360"/>
      <c r="B163" s="357"/>
      <c r="C163" s="349"/>
      <c r="D163" s="349"/>
      <c r="E163" s="349"/>
      <c r="F163" s="349"/>
      <c r="G163" s="349"/>
      <c r="H163" s="349"/>
      <c r="I163" s="349"/>
      <c r="J163" s="349"/>
      <c r="K163" s="349"/>
    </row>
    <row r="164" spans="1:11" s="23" customFormat="1">
      <c r="A164" s="43"/>
      <c r="B164" s="44"/>
      <c r="C164" s="349"/>
      <c r="D164" s="25"/>
      <c r="E164" s="25"/>
      <c r="F164" s="25"/>
      <c r="G164" s="25"/>
      <c r="H164" s="25"/>
      <c r="I164" s="25"/>
      <c r="J164" s="25"/>
      <c r="K164" s="25"/>
    </row>
    <row r="165" spans="1:11" s="23" customFormat="1">
      <c r="A165" s="349"/>
      <c r="B165" s="44"/>
      <c r="C165" s="349"/>
      <c r="D165" s="349"/>
      <c r="E165" s="349"/>
      <c r="F165" s="349"/>
      <c r="G165" s="349"/>
      <c r="H165" s="349"/>
      <c r="I165" s="349"/>
      <c r="J165" s="349"/>
      <c r="K165" s="349"/>
    </row>
    <row r="166" spans="1:11" s="23" customFormat="1">
      <c r="A166" s="349"/>
      <c r="B166" s="44"/>
      <c r="C166" s="349"/>
      <c r="D166" s="349"/>
      <c r="E166" s="349"/>
      <c r="F166" s="349"/>
      <c r="G166" s="349"/>
      <c r="H166" s="349"/>
      <c r="I166" s="349"/>
      <c r="J166" s="349"/>
      <c r="K166" s="349"/>
    </row>
    <row r="167" spans="1:11" s="23" customFormat="1">
      <c r="A167" s="349"/>
      <c r="B167" s="44"/>
      <c r="C167" s="349"/>
      <c r="D167" s="349"/>
      <c r="E167" s="349"/>
      <c r="F167" s="349"/>
      <c r="G167" s="349"/>
      <c r="H167" s="349"/>
      <c r="I167" s="349"/>
      <c r="J167" s="349"/>
      <c r="K167" s="349"/>
    </row>
    <row r="168" spans="1:11" s="23" customFormat="1">
      <c r="A168" s="349"/>
      <c r="B168" s="44"/>
      <c r="C168" s="349"/>
      <c r="D168" s="349"/>
      <c r="E168" s="349"/>
      <c r="F168" s="349"/>
      <c r="G168" s="349"/>
      <c r="H168" s="349"/>
      <c r="I168" s="349"/>
      <c r="J168" s="349"/>
      <c r="K168" s="349"/>
    </row>
    <row r="169" spans="1:11" s="23" customFormat="1" ht="63" customHeight="1">
      <c r="A169" s="359"/>
      <c r="B169" s="357"/>
      <c r="C169" s="349"/>
      <c r="D169" s="349"/>
      <c r="E169" s="349"/>
      <c r="F169" s="349"/>
      <c r="G169" s="349"/>
      <c r="H169" s="349"/>
      <c r="I169" s="349"/>
      <c r="J169" s="349"/>
      <c r="K169" s="349"/>
    </row>
    <row r="170" spans="1:11" s="23" customFormat="1">
      <c r="A170" s="359"/>
      <c r="B170" s="357"/>
      <c r="C170" s="349"/>
      <c r="D170" s="349"/>
      <c r="E170" s="349"/>
      <c r="F170" s="349"/>
      <c r="G170" s="349"/>
      <c r="H170" s="349"/>
      <c r="I170" s="349"/>
      <c r="J170" s="349"/>
      <c r="K170" s="349"/>
    </row>
    <row r="171" spans="1:11" s="23" customFormat="1">
      <c r="A171" s="25"/>
      <c r="B171" s="44"/>
      <c r="C171" s="349"/>
      <c r="D171" s="25"/>
      <c r="E171" s="25"/>
      <c r="F171" s="25"/>
      <c r="G171" s="25"/>
      <c r="H171" s="25"/>
      <c r="I171" s="25"/>
      <c r="J171" s="25"/>
      <c r="K171" s="25"/>
    </row>
    <row r="172" spans="1:11" s="23" customFormat="1">
      <c r="A172" s="25"/>
      <c r="B172" s="44"/>
      <c r="C172" s="349"/>
      <c r="D172" s="25"/>
      <c r="E172" s="25"/>
      <c r="F172" s="25"/>
      <c r="G172" s="25"/>
      <c r="H172" s="25"/>
      <c r="I172" s="25"/>
      <c r="J172" s="25"/>
      <c r="K172" s="25"/>
    </row>
    <row r="173" spans="1:11" s="23" customFormat="1">
      <c r="A173" s="349"/>
      <c r="B173" s="44"/>
      <c r="C173" s="349"/>
      <c r="D173" s="349"/>
      <c r="E173" s="349"/>
      <c r="F173" s="349"/>
      <c r="G173" s="349"/>
      <c r="H173" s="349"/>
      <c r="I173" s="349"/>
      <c r="J173" s="349"/>
      <c r="K173" s="349"/>
    </row>
    <row r="174" spans="1:11" s="23" customFormat="1">
      <c r="A174" s="349"/>
      <c r="B174" s="44"/>
      <c r="C174" s="349"/>
      <c r="D174" s="349"/>
      <c r="E174" s="349"/>
      <c r="F174" s="349"/>
      <c r="G174" s="349"/>
      <c r="H174" s="349"/>
      <c r="I174" s="349"/>
      <c r="J174" s="349"/>
      <c r="K174" s="349"/>
    </row>
    <row r="175" spans="1:11" s="23" customFormat="1" ht="203.25" customHeight="1">
      <c r="A175" s="349"/>
      <c r="B175" s="356"/>
      <c r="C175" s="349"/>
      <c r="D175" s="349"/>
      <c r="E175" s="349"/>
      <c r="F175" s="349"/>
      <c r="G175" s="349"/>
      <c r="H175" s="349"/>
      <c r="I175" s="349"/>
      <c r="J175" s="349"/>
      <c r="K175" s="349"/>
    </row>
    <row r="176" spans="1:11" s="23" customFormat="1">
      <c r="A176" s="349"/>
      <c r="B176" s="356"/>
      <c r="C176" s="349"/>
      <c r="D176" s="349"/>
      <c r="E176" s="349"/>
      <c r="F176" s="349"/>
      <c r="G176" s="349"/>
      <c r="H176" s="349"/>
      <c r="I176" s="349"/>
      <c r="J176" s="349"/>
      <c r="K176" s="349"/>
    </row>
    <row r="177" spans="1:11" s="23" customFormat="1" ht="1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</row>
    <row r="178" spans="1:11" s="23" customFormat="1">
      <c r="A178" s="28"/>
      <c r="B178" s="45"/>
      <c r="C178" s="349"/>
      <c r="D178" s="25"/>
      <c r="E178" s="25"/>
      <c r="F178" s="25"/>
      <c r="G178" s="25"/>
      <c r="H178" s="25"/>
      <c r="I178" s="25"/>
      <c r="J178" s="25"/>
      <c r="K178" s="25"/>
    </row>
    <row r="179" spans="1:11" s="23" customFormat="1">
      <c r="A179" s="25"/>
      <c r="B179" s="46"/>
      <c r="C179" s="349"/>
      <c r="D179" s="25"/>
      <c r="E179" s="25"/>
      <c r="F179" s="25"/>
      <c r="G179" s="25"/>
      <c r="H179" s="25"/>
      <c r="I179" s="25"/>
      <c r="J179" s="25"/>
      <c r="K179" s="25"/>
    </row>
    <row r="180" spans="1:11" s="23" customFormat="1">
      <c r="A180" s="25"/>
      <c r="B180" s="44"/>
      <c r="C180" s="349"/>
      <c r="D180" s="25"/>
      <c r="E180" s="25"/>
      <c r="F180" s="25"/>
      <c r="G180" s="25"/>
      <c r="H180" s="25"/>
      <c r="I180" s="25"/>
      <c r="J180" s="25"/>
      <c r="K180" s="25"/>
    </row>
    <row r="181" spans="1:11" s="23" customFormat="1">
      <c r="A181" s="25"/>
      <c r="B181" s="44"/>
      <c r="C181" s="349"/>
      <c r="D181" s="25"/>
      <c r="E181" s="25"/>
      <c r="F181" s="25"/>
      <c r="G181" s="25"/>
      <c r="H181" s="25"/>
      <c r="I181" s="25"/>
      <c r="J181" s="25"/>
      <c r="K181" s="25"/>
    </row>
    <row r="182" spans="1:11" s="23" customFormat="1">
      <c r="A182" s="25"/>
      <c r="B182" s="44"/>
      <c r="C182" s="349"/>
      <c r="D182" s="25"/>
      <c r="E182" s="25"/>
      <c r="F182" s="25"/>
      <c r="G182" s="25"/>
      <c r="H182" s="25"/>
      <c r="I182" s="25"/>
      <c r="J182" s="25"/>
      <c r="K182" s="25"/>
    </row>
    <row r="183" spans="1:11" s="23" customFormat="1" ht="63" customHeight="1">
      <c r="A183" s="359"/>
      <c r="B183" s="338"/>
      <c r="C183" s="349"/>
      <c r="D183" s="359"/>
      <c r="E183" s="359"/>
      <c r="F183" s="359"/>
      <c r="G183" s="359"/>
      <c r="H183" s="359"/>
      <c r="I183" s="359"/>
      <c r="J183" s="359"/>
      <c r="K183" s="359"/>
    </row>
    <row r="184" spans="1:11" s="23" customFormat="1">
      <c r="A184" s="359"/>
      <c r="B184" s="338"/>
      <c r="C184" s="349"/>
      <c r="D184" s="359"/>
      <c r="E184" s="359"/>
      <c r="F184" s="359"/>
      <c r="G184" s="359"/>
      <c r="H184" s="359"/>
      <c r="I184" s="359"/>
      <c r="J184" s="359"/>
      <c r="K184" s="359"/>
    </row>
    <row r="185" spans="1:11" s="23" customFormat="1">
      <c r="A185" s="25"/>
      <c r="B185" s="44"/>
      <c r="C185" s="349"/>
      <c r="D185" s="28"/>
      <c r="E185" s="28"/>
      <c r="F185" s="28"/>
      <c r="G185" s="28"/>
      <c r="H185" s="28"/>
      <c r="I185" s="28"/>
      <c r="J185" s="28"/>
      <c r="K185" s="28"/>
    </row>
    <row r="186" spans="1:11" s="23" customFormat="1">
      <c r="A186" s="25"/>
      <c r="B186" s="44"/>
      <c r="C186" s="349"/>
      <c r="D186" s="28"/>
      <c r="E186" s="28"/>
      <c r="F186" s="28"/>
      <c r="G186" s="28"/>
      <c r="H186" s="28"/>
      <c r="I186" s="28"/>
      <c r="J186" s="28"/>
      <c r="K186" s="28"/>
    </row>
    <row r="187" spans="1:11" s="23" customFormat="1">
      <c r="A187" s="25"/>
      <c r="B187" s="44"/>
      <c r="C187" s="349"/>
      <c r="D187" s="28"/>
      <c r="E187" s="28"/>
      <c r="F187" s="28"/>
      <c r="G187" s="28"/>
      <c r="H187" s="28"/>
      <c r="I187" s="28"/>
      <c r="J187" s="28"/>
      <c r="K187" s="28"/>
    </row>
    <row r="188" spans="1:11" s="23" customFormat="1">
      <c r="A188" s="25"/>
      <c r="B188" s="44"/>
      <c r="C188" s="349"/>
      <c r="D188" s="28"/>
      <c r="E188" s="28"/>
      <c r="F188" s="28"/>
      <c r="G188" s="28"/>
      <c r="H188" s="28"/>
      <c r="I188" s="28"/>
      <c r="J188" s="28"/>
      <c r="K188" s="28"/>
    </row>
    <row r="189" spans="1:11" s="23" customFormat="1" ht="37.5" customHeight="1">
      <c r="A189" s="359"/>
      <c r="B189" s="338"/>
      <c r="C189" s="349"/>
      <c r="D189" s="359"/>
      <c r="E189" s="359"/>
      <c r="F189" s="359"/>
      <c r="G189" s="359"/>
      <c r="H189" s="359"/>
      <c r="I189" s="359"/>
      <c r="J189" s="359"/>
      <c r="K189" s="359"/>
    </row>
    <row r="190" spans="1:11" s="23" customFormat="1">
      <c r="A190" s="359"/>
      <c r="B190" s="338"/>
      <c r="C190" s="349"/>
      <c r="D190" s="359"/>
      <c r="E190" s="359"/>
      <c r="F190" s="359"/>
      <c r="G190" s="359"/>
      <c r="H190" s="359"/>
      <c r="I190" s="359"/>
      <c r="J190" s="359"/>
      <c r="K190" s="359"/>
    </row>
    <row r="191" spans="1:11" s="23" customFormat="1">
      <c r="A191" s="25"/>
      <c r="B191" s="46"/>
      <c r="C191" s="349"/>
      <c r="D191" s="28"/>
      <c r="E191" s="28"/>
      <c r="F191" s="28"/>
      <c r="G191" s="28"/>
      <c r="H191" s="28"/>
      <c r="I191" s="28"/>
      <c r="J191" s="28"/>
      <c r="K191" s="28"/>
    </row>
    <row r="192" spans="1:11" s="23" customFormat="1">
      <c r="A192" s="25"/>
      <c r="B192" s="46"/>
      <c r="C192" s="349"/>
      <c r="D192" s="28"/>
      <c r="E192" s="28"/>
      <c r="F192" s="28"/>
      <c r="G192" s="28"/>
      <c r="H192" s="28"/>
      <c r="I192" s="28"/>
      <c r="J192" s="28"/>
      <c r="K192" s="28"/>
    </row>
    <row r="193" spans="1:11" s="23" customFormat="1">
      <c r="A193" s="25"/>
      <c r="B193" s="47"/>
      <c r="C193" s="349"/>
      <c r="D193" s="28"/>
      <c r="E193" s="28"/>
      <c r="F193" s="28"/>
      <c r="G193" s="28"/>
      <c r="H193" s="28"/>
      <c r="I193" s="28"/>
      <c r="J193" s="28"/>
      <c r="K193" s="28"/>
    </row>
    <row r="194" spans="1:11" s="23" customFormat="1">
      <c r="A194" s="25"/>
      <c r="B194" s="46"/>
      <c r="C194" s="349"/>
      <c r="D194" s="28"/>
      <c r="E194" s="28"/>
      <c r="F194" s="28"/>
      <c r="G194" s="28"/>
      <c r="H194" s="28"/>
      <c r="I194" s="28"/>
      <c r="J194" s="28"/>
      <c r="K194" s="28"/>
    </row>
    <row r="195" spans="1:11" s="23" customFormat="1" ht="50.25" customHeight="1">
      <c r="A195" s="345"/>
      <c r="B195" s="357"/>
      <c r="C195" s="349"/>
      <c r="D195" s="359"/>
      <c r="E195" s="359"/>
      <c r="F195" s="359"/>
      <c r="G195" s="359"/>
      <c r="H195" s="359"/>
      <c r="I195" s="359"/>
      <c r="J195" s="359"/>
      <c r="K195" s="359"/>
    </row>
    <row r="196" spans="1:11" s="23" customFormat="1">
      <c r="A196" s="345"/>
      <c r="B196" s="357"/>
      <c r="C196" s="349"/>
      <c r="D196" s="359"/>
      <c r="E196" s="359"/>
      <c r="F196" s="359"/>
      <c r="G196" s="359"/>
      <c r="H196" s="359"/>
      <c r="I196" s="359"/>
      <c r="J196" s="359"/>
      <c r="K196" s="359"/>
    </row>
    <row r="197" spans="1:11" s="23" customFormat="1">
      <c r="A197" s="25"/>
      <c r="B197" s="46"/>
      <c r="C197" s="349"/>
      <c r="D197" s="28"/>
      <c r="E197" s="28"/>
      <c r="F197" s="28"/>
      <c r="G197" s="28"/>
      <c r="H197" s="28"/>
      <c r="I197" s="28"/>
      <c r="J197" s="28"/>
      <c r="K197" s="28"/>
    </row>
    <row r="198" spans="1:11" s="23" customFormat="1">
      <c r="A198" s="25"/>
      <c r="B198" s="46"/>
      <c r="C198" s="349"/>
      <c r="D198" s="28"/>
      <c r="E198" s="28"/>
      <c r="F198" s="28"/>
      <c r="G198" s="28"/>
      <c r="H198" s="28"/>
      <c r="I198" s="28"/>
      <c r="J198" s="28"/>
      <c r="K198" s="28"/>
    </row>
    <row r="199" spans="1:11" s="23" customFormat="1">
      <c r="A199" s="28"/>
      <c r="B199" s="45"/>
      <c r="C199" s="349"/>
      <c r="D199" s="28"/>
      <c r="E199" s="28"/>
      <c r="F199" s="28"/>
      <c r="G199" s="28"/>
      <c r="H199" s="28"/>
      <c r="I199" s="28"/>
      <c r="J199" s="28"/>
      <c r="K199" s="28"/>
    </row>
    <row r="200" spans="1:11" s="23" customFormat="1">
      <c r="A200" s="25"/>
      <c r="B200" s="46"/>
      <c r="C200" s="349"/>
      <c r="D200" s="28"/>
      <c r="E200" s="28"/>
      <c r="F200" s="28"/>
      <c r="G200" s="28"/>
      <c r="H200" s="28"/>
      <c r="I200" s="28"/>
      <c r="J200" s="28"/>
      <c r="K200" s="28"/>
    </row>
    <row r="201" spans="1:11" s="23" customFormat="1" ht="14.25">
      <c r="A201" s="343"/>
      <c r="B201" s="48"/>
      <c r="C201" s="40"/>
      <c r="D201" s="40"/>
      <c r="E201" s="40"/>
      <c r="F201" s="40"/>
      <c r="G201" s="40"/>
      <c r="H201" s="40"/>
      <c r="I201" s="40"/>
      <c r="J201" s="40"/>
      <c r="K201" s="40"/>
    </row>
    <row r="202" spans="1:11" s="23" customFormat="1" ht="15">
      <c r="A202" s="343"/>
      <c r="B202" s="49"/>
      <c r="C202" s="40"/>
      <c r="D202" s="40"/>
      <c r="E202" s="40"/>
      <c r="F202" s="40"/>
      <c r="G202" s="40"/>
      <c r="H202" s="40"/>
      <c r="I202" s="40"/>
      <c r="J202" s="40"/>
      <c r="K202" s="40"/>
    </row>
    <row r="203" spans="1:11" s="23" customFormat="1">
      <c r="A203" s="345"/>
      <c r="B203" s="357"/>
      <c r="C203" s="28"/>
      <c r="D203" s="28"/>
      <c r="E203" s="28"/>
      <c r="F203" s="28"/>
      <c r="G203" s="28"/>
      <c r="H203" s="28"/>
      <c r="I203" s="28"/>
      <c r="J203" s="28"/>
      <c r="K203" s="28"/>
    </row>
    <row r="204" spans="1:11" s="23" customFormat="1">
      <c r="A204" s="345"/>
      <c r="B204" s="357"/>
      <c r="C204" s="28"/>
      <c r="D204" s="28"/>
      <c r="E204" s="28"/>
      <c r="F204" s="28"/>
      <c r="G204" s="28"/>
      <c r="H204" s="28"/>
      <c r="I204" s="28"/>
      <c r="J204" s="28"/>
      <c r="K204" s="28"/>
    </row>
    <row r="205" spans="1:11" s="23" customFormat="1" ht="190.5" customHeight="1">
      <c r="A205" s="350"/>
      <c r="B205" s="350"/>
      <c r="C205" s="25"/>
      <c r="D205" s="28"/>
      <c r="E205" s="28"/>
      <c r="F205" s="28"/>
      <c r="G205" s="28"/>
      <c r="H205" s="28"/>
      <c r="I205" s="28"/>
      <c r="J205" s="28"/>
      <c r="K205" s="28"/>
    </row>
    <row r="206" spans="1:11" s="23" customFormat="1">
      <c r="A206" s="350"/>
      <c r="B206" s="350"/>
      <c r="C206" s="25"/>
      <c r="D206" s="28"/>
      <c r="E206" s="25"/>
      <c r="F206" s="28"/>
      <c r="G206" s="28"/>
      <c r="H206" s="28"/>
      <c r="I206" s="28"/>
      <c r="J206" s="28"/>
      <c r="K206" s="28"/>
    </row>
    <row r="207" spans="1:11" s="23" customFormat="1" ht="1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</row>
    <row r="208" spans="1:11" s="23" customFormat="1" ht="139.5" customHeight="1">
      <c r="A208" s="349"/>
      <c r="B208" s="356"/>
      <c r="C208" s="25"/>
      <c r="D208" s="337"/>
      <c r="E208" s="337"/>
      <c r="F208" s="337"/>
      <c r="G208" s="337"/>
      <c r="H208" s="337"/>
      <c r="I208" s="337"/>
      <c r="J208" s="337"/>
      <c r="K208" s="337"/>
    </row>
    <row r="209" spans="1:11" s="23" customFormat="1">
      <c r="A209" s="349"/>
      <c r="B209" s="356"/>
      <c r="C209" s="25"/>
      <c r="D209" s="337"/>
      <c r="E209" s="337"/>
      <c r="F209" s="337"/>
      <c r="G209" s="337"/>
      <c r="H209" s="337"/>
      <c r="I209" s="337"/>
      <c r="J209" s="337"/>
      <c r="K209" s="337"/>
    </row>
    <row r="210" spans="1:11" s="23" customFormat="1" ht="152.25" customHeight="1">
      <c r="A210" s="349"/>
      <c r="B210" s="356"/>
      <c r="C210" s="25"/>
      <c r="D210" s="337"/>
      <c r="E210" s="337"/>
      <c r="F210" s="337"/>
      <c r="G210" s="337"/>
      <c r="H210" s="337"/>
      <c r="I210" s="337"/>
      <c r="J210" s="337"/>
      <c r="K210" s="337"/>
    </row>
    <row r="211" spans="1:11" s="23" customFormat="1">
      <c r="A211" s="349"/>
      <c r="B211" s="356"/>
      <c r="C211" s="25"/>
      <c r="D211" s="337"/>
      <c r="E211" s="337"/>
      <c r="F211" s="337"/>
      <c r="G211" s="337"/>
      <c r="H211" s="337"/>
      <c r="I211" s="337"/>
      <c r="J211" s="337"/>
      <c r="K211" s="337"/>
    </row>
    <row r="212" spans="1:11" s="23" customFormat="1" ht="152.25" customHeight="1">
      <c r="A212" s="349"/>
      <c r="B212" s="356"/>
      <c r="C212" s="25"/>
      <c r="D212" s="349"/>
      <c r="E212" s="349"/>
      <c r="F212" s="349"/>
      <c r="G212" s="349"/>
      <c r="H212" s="349"/>
      <c r="I212" s="349"/>
      <c r="J212" s="349"/>
      <c r="K212" s="349"/>
    </row>
    <row r="213" spans="1:11" s="23" customFormat="1">
      <c r="A213" s="349"/>
      <c r="B213" s="356"/>
      <c r="C213" s="25"/>
      <c r="D213" s="349"/>
      <c r="E213" s="349"/>
      <c r="F213" s="349"/>
      <c r="G213" s="349"/>
      <c r="H213" s="349"/>
      <c r="I213" s="349"/>
      <c r="J213" s="349"/>
      <c r="K213" s="349"/>
    </row>
    <row r="214" spans="1:11" s="23" customFormat="1" ht="126.75" customHeight="1">
      <c r="A214" s="349"/>
      <c r="B214" s="356"/>
      <c r="C214" s="25"/>
      <c r="D214" s="349"/>
      <c r="E214" s="349"/>
      <c r="F214" s="349"/>
      <c r="G214" s="349"/>
      <c r="H214" s="349"/>
      <c r="I214" s="349"/>
      <c r="J214" s="349"/>
      <c r="K214" s="349"/>
    </row>
    <row r="215" spans="1:11" s="23" customFormat="1">
      <c r="A215" s="349"/>
      <c r="B215" s="356"/>
      <c r="C215" s="25"/>
      <c r="D215" s="349"/>
      <c r="E215" s="349"/>
      <c r="F215" s="349"/>
      <c r="G215" s="349"/>
      <c r="H215" s="349"/>
      <c r="I215" s="349"/>
      <c r="J215" s="349"/>
      <c r="K215" s="349"/>
    </row>
    <row r="216" spans="1:11" s="23" customFormat="1" ht="126.75" customHeight="1">
      <c r="A216" s="349"/>
      <c r="B216" s="356"/>
      <c r="C216" s="25"/>
      <c r="D216" s="349"/>
      <c r="E216" s="349"/>
      <c r="F216" s="349"/>
      <c r="G216" s="349"/>
      <c r="H216" s="349"/>
      <c r="I216" s="349"/>
      <c r="J216" s="349"/>
      <c r="K216" s="349"/>
    </row>
    <row r="217" spans="1:11" s="23" customFormat="1">
      <c r="A217" s="349"/>
      <c r="B217" s="356"/>
      <c r="C217" s="25"/>
      <c r="D217" s="349"/>
      <c r="E217" s="349"/>
      <c r="F217" s="349"/>
      <c r="G217" s="349"/>
      <c r="H217" s="349"/>
      <c r="I217" s="349"/>
      <c r="J217" s="349"/>
      <c r="K217" s="349"/>
    </row>
    <row r="218" spans="1:11" s="23" customFormat="1">
      <c r="A218" s="345"/>
      <c r="B218" s="357"/>
      <c r="C218" s="28"/>
      <c r="D218" s="28"/>
      <c r="E218" s="28"/>
      <c r="F218" s="28"/>
      <c r="G218" s="28"/>
      <c r="H218" s="28"/>
      <c r="I218" s="28"/>
      <c r="J218" s="28"/>
      <c r="K218" s="28"/>
    </row>
    <row r="219" spans="1:11" s="23" customFormat="1">
      <c r="A219" s="345"/>
      <c r="B219" s="357"/>
      <c r="C219" s="28"/>
      <c r="D219" s="28"/>
      <c r="E219" s="28"/>
      <c r="F219" s="28"/>
      <c r="G219" s="28"/>
      <c r="H219" s="28"/>
      <c r="I219" s="28"/>
      <c r="J219" s="28"/>
      <c r="K219" s="28"/>
    </row>
    <row r="220" spans="1:11" s="23" customFormat="1" ht="101.25" customHeight="1">
      <c r="A220" s="349"/>
      <c r="B220" s="355"/>
      <c r="C220" s="25"/>
      <c r="D220" s="28"/>
      <c r="E220" s="28"/>
      <c r="F220" s="28"/>
      <c r="G220" s="28"/>
      <c r="H220" s="28"/>
      <c r="I220" s="28"/>
      <c r="J220" s="28"/>
      <c r="K220" s="28"/>
    </row>
    <row r="221" spans="1:11" s="23" customFormat="1">
      <c r="A221" s="349"/>
      <c r="B221" s="355"/>
      <c r="C221" s="25"/>
      <c r="D221" s="28"/>
      <c r="E221" s="28"/>
      <c r="F221" s="28"/>
      <c r="G221" s="28"/>
      <c r="H221" s="28"/>
      <c r="I221" s="28"/>
      <c r="J221" s="28"/>
      <c r="K221" s="28"/>
    </row>
    <row r="222" spans="1:11" s="23" customFormat="1" ht="203.25" customHeight="1">
      <c r="A222" s="349"/>
      <c r="B222" s="358"/>
      <c r="C222" s="31"/>
      <c r="D222" s="28"/>
      <c r="E222" s="28"/>
      <c r="F222" s="28"/>
      <c r="G222" s="28"/>
      <c r="H222" s="28"/>
      <c r="I222" s="28"/>
      <c r="J222" s="28"/>
      <c r="K222" s="28"/>
    </row>
    <row r="223" spans="1:11" s="23" customFormat="1">
      <c r="A223" s="349"/>
      <c r="B223" s="358"/>
      <c r="C223" s="31"/>
      <c r="D223" s="28"/>
      <c r="E223" s="28"/>
      <c r="F223" s="28"/>
      <c r="G223" s="28"/>
      <c r="H223" s="28"/>
      <c r="I223" s="28"/>
      <c r="J223" s="28"/>
      <c r="K223" s="28"/>
    </row>
    <row r="224" spans="1:11" s="23" customFormat="1" ht="101.25" customHeight="1">
      <c r="A224" s="349"/>
      <c r="B224" s="356"/>
      <c r="C224" s="25"/>
      <c r="D224" s="28"/>
      <c r="E224" s="28"/>
      <c r="F224" s="28"/>
      <c r="G224" s="28"/>
      <c r="H224" s="28"/>
      <c r="I224" s="28"/>
      <c r="J224" s="28"/>
      <c r="K224" s="28"/>
    </row>
    <row r="225" spans="1:11" s="23" customFormat="1">
      <c r="A225" s="349"/>
      <c r="B225" s="356"/>
      <c r="C225" s="25"/>
      <c r="D225" s="28"/>
      <c r="E225" s="28"/>
      <c r="F225" s="28"/>
      <c r="G225" s="28"/>
      <c r="H225" s="28"/>
      <c r="I225" s="28"/>
      <c r="J225" s="28"/>
      <c r="K225" s="28"/>
    </row>
    <row r="226" spans="1:11" s="23" customFormat="1">
      <c r="A226" s="345"/>
      <c r="B226" s="357"/>
      <c r="C226" s="28"/>
      <c r="D226" s="28"/>
      <c r="E226" s="28"/>
      <c r="F226" s="28"/>
      <c r="G226" s="28"/>
      <c r="H226" s="28"/>
      <c r="I226" s="28"/>
      <c r="J226" s="28"/>
      <c r="K226" s="28"/>
    </row>
    <row r="227" spans="1:11" s="23" customFormat="1">
      <c r="A227" s="345"/>
      <c r="B227" s="357"/>
      <c r="C227" s="28"/>
      <c r="D227" s="28"/>
      <c r="E227" s="28"/>
      <c r="F227" s="28"/>
      <c r="G227" s="28"/>
      <c r="H227" s="28"/>
      <c r="I227" s="28"/>
      <c r="J227" s="28"/>
      <c r="K227" s="28"/>
    </row>
    <row r="228" spans="1:11" s="23" customFormat="1" ht="75.75" customHeight="1">
      <c r="A228" s="337"/>
      <c r="B228" s="355"/>
      <c r="C228" s="25"/>
      <c r="D228" s="25"/>
      <c r="E228" s="25"/>
      <c r="F228" s="25"/>
      <c r="G228" s="25"/>
      <c r="H228" s="25"/>
      <c r="I228" s="25"/>
      <c r="J228" s="25"/>
      <c r="K228" s="25"/>
    </row>
    <row r="229" spans="1:11" s="23" customFormat="1">
      <c r="A229" s="337"/>
      <c r="B229" s="355"/>
      <c r="C229" s="25"/>
      <c r="D229" s="25"/>
      <c r="E229" s="25"/>
      <c r="F229" s="25"/>
      <c r="G229" s="25"/>
      <c r="H229" s="25"/>
      <c r="I229" s="25"/>
      <c r="J229" s="25"/>
      <c r="K229" s="25"/>
    </row>
    <row r="230" spans="1:11" s="23" customFormat="1" ht="165" customHeight="1">
      <c r="A230" s="337"/>
      <c r="B230" s="355"/>
      <c r="C230" s="25"/>
      <c r="D230" s="25"/>
      <c r="E230" s="25"/>
      <c r="F230" s="25"/>
      <c r="G230" s="25"/>
      <c r="H230" s="25"/>
      <c r="I230" s="25"/>
      <c r="J230" s="25"/>
      <c r="K230" s="25"/>
    </row>
    <row r="231" spans="1:11" s="23" customFormat="1">
      <c r="A231" s="337"/>
      <c r="B231" s="355"/>
      <c r="C231" s="25"/>
      <c r="D231" s="25"/>
      <c r="E231" s="25"/>
      <c r="F231" s="25"/>
      <c r="G231" s="25"/>
      <c r="H231" s="25"/>
      <c r="I231" s="25"/>
      <c r="J231" s="25"/>
      <c r="K231" s="25"/>
    </row>
    <row r="232" spans="1:11" s="23" customFormat="1" ht="14.25">
      <c r="A232" s="343"/>
      <c r="B232" s="48"/>
      <c r="C232" s="343"/>
      <c r="D232" s="343"/>
      <c r="E232" s="343"/>
      <c r="F232" s="343"/>
      <c r="G232" s="343"/>
      <c r="H232" s="343"/>
      <c r="I232" s="343"/>
      <c r="J232" s="343"/>
      <c r="K232" s="343"/>
    </row>
    <row r="233" spans="1:11" s="23" customFormat="1" ht="14.25">
      <c r="A233" s="343"/>
      <c r="B233" s="48"/>
      <c r="C233" s="343"/>
      <c r="D233" s="343"/>
      <c r="E233" s="343"/>
      <c r="F233" s="343"/>
      <c r="G233" s="343"/>
      <c r="H233" s="343"/>
      <c r="I233" s="343"/>
      <c r="J233" s="343"/>
      <c r="K233" s="343"/>
    </row>
    <row r="234" spans="1:11" s="23" customFormat="1" ht="15">
      <c r="A234" s="343"/>
      <c r="B234" s="49"/>
      <c r="C234" s="40"/>
      <c r="D234" s="40"/>
      <c r="E234" s="40"/>
      <c r="F234" s="40"/>
      <c r="G234" s="40"/>
      <c r="H234" s="40"/>
      <c r="I234" s="40"/>
      <c r="J234" s="40"/>
      <c r="K234" s="40"/>
    </row>
    <row r="235" spans="1:11" s="23" customFormat="1" ht="15.75">
      <c r="A235" s="345"/>
      <c r="B235" s="354"/>
      <c r="C235" s="51"/>
      <c r="D235" s="52"/>
      <c r="E235" s="52"/>
      <c r="F235" s="52"/>
      <c r="G235" s="52"/>
      <c r="H235" s="52"/>
      <c r="I235" s="52"/>
      <c r="J235" s="52"/>
      <c r="K235" s="53"/>
    </row>
    <row r="236" spans="1:11" s="23" customFormat="1" ht="15.75">
      <c r="A236" s="345"/>
      <c r="B236" s="354"/>
      <c r="C236" s="54"/>
      <c r="D236" s="52"/>
      <c r="E236" s="52"/>
      <c r="F236" s="52"/>
      <c r="G236" s="52"/>
      <c r="H236" s="52"/>
      <c r="I236" s="52"/>
      <c r="J236" s="52"/>
      <c r="K236" s="53"/>
    </row>
    <row r="237" spans="1:11" s="23" customFormat="1" ht="114" customHeight="1">
      <c r="A237" s="349"/>
      <c r="B237" s="350"/>
      <c r="C237" s="25"/>
      <c r="D237" s="31"/>
      <c r="E237" s="55"/>
      <c r="F237" s="55"/>
      <c r="G237" s="31"/>
      <c r="H237" s="31"/>
      <c r="I237" s="55"/>
      <c r="J237" s="55"/>
      <c r="K237" s="55"/>
    </row>
    <row r="238" spans="1:11" s="23" customFormat="1" ht="15.75">
      <c r="A238" s="349"/>
      <c r="B238" s="350"/>
      <c r="C238" s="25"/>
      <c r="D238" s="31"/>
      <c r="E238" s="55"/>
      <c r="F238" s="55"/>
      <c r="G238" s="31"/>
      <c r="H238" s="31"/>
      <c r="I238" s="55"/>
      <c r="J238" s="55"/>
      <c r="K238" s="55"/>
    </row>
    <row r="239" spans="1:11" s="23" customFormat="1" ht="63" customHeight="1">
      <c r="A239" s="349"/>
      <c r="B239" s="353"/>
      <c r="C239" s="25"/>
      <c r="D239" s="31"/>
      <c r="E239" s="31"/>
      <c r="F239" s="31"/>
      <c r="G239" s="31"/>
      <c r="H239" s="31"/>
      <c r="I239" s="31"/>
      <c r="J239" s="31"/>
      <c r="K239" s="31"/>
    </row>
    <row r="240" spans="1:11" s="23" customFormat="1">
      <c r="A240" s="349"/>
      <c r="B240" s="353"/>
      <c r="C240" s="25"/>
      <c r="D240" s="31"/>
      <c r="E240" s="31"/>
      <c r="F240" s="31"/>
      <c r="G240" s="31"/>
      <c r="H240" s="31"/>
      <c r="I240" s="31"/>
      <c r="J240" s="31"/>
      <c r="K240" s="31"/>
    </row>
    <row r="241" spans="1:11" s="23" customFormat="1" ht="101.25" customHeight="1">
      <c r="A241" s="349"/>
      <c r="B241" s="350"/>
      <c r="C241" s="25"/>
      <c r="D241" s="31"/>
      <c r="E241" s="31"/>
      <c r="F241" s="31"/>
      <c r="G241" s="31"/>
      <c r="H241" s="31"/>
      <c r="I241" s="31"/>
      <c r="J241" s="31"/>
      <c r="K241" s="31"/>
    </row>
    <row r="242" spans="1:11" s="23" customFormat="1">
      <c r="A242" s="349"/>
      <c r="B242" s="350"/>
      <c r="C242" s="25"/>
      <c r="D242" s="31"/>
      <c r="E242" s="31"/>
      <c r="F242" s="31"/>
      <c r="G242" s="31"/>
      <c r="H242" s="31"/>
      <c r="I242" s="31"/>
      <c r="J242" s="31"/>
      <c r="K242" s="31"/>
    </row>
    <row r="243" spans="1:11" s="23" customFormat="1" ht="15">
      <c r="A243" s="25"/>
      <c r="B243" s="56"/>
      <c r="C243" s="25"/>
      <c r="D243" s="31"/>
      <c r="E243" s="31"/>
      <c r="F243" s="31"/>
      <c r="G243" s="31"/>
      <c r="H243" s="31"/>
      <c r="I243" s="31"/>
      <c r="J243" s="31"/>
      <c r="K243" s="31"/>
    </row>
    <row r="244" spans="1:11" s="23" customFormat="1">
      <c r="A244" s="25"/>
      <c r="B244" s="29"/>
      <c r="C244" s="31"/>
      <c r="D244" s="31"/>
      <c r="E244" s="31"/>
      <c r="F244" s="31"/>
      <c r="G244" s="31"/>
      <c r="H244" s="31"/>
      <c r="I244" s="31"/>
      <c r="J244" s="31"/>
      <c r="K244" s="31"/>
    </row>
    <row r="245" spans="1:11" s="23" customFormat="1" ht="13.5">
      <c r="A245" s="349"/>
      <c r="B245" s="354"/>
      <c r="C245" s="51"/>
      <c r="D245" s="52"/>
      <c r="E245" s="52"/>
      <c r="F245" s="52"/>
      <c r="G245" s="52"/>
      <c r="H245" s="52"/>
      <c r="I245" s="52"/>
      <c r="J245" s="52"/>
      <c r="K245" s="52"/>
    </row>
    <row r="246" spans="1:11" s="23" customFormat="1" ht="13.5">
      <c r="A246" s="349"/>
      <c r="B246" s="354"/>
      <c r="C246" s="51"/>
      <c r="D246" s="52"/>
      <c r="E246" s="52"/>
      <c r="F246" s="52"/>
      <c r="G246" s="52"/>
      <c r="H246" s="52"/>
      <c r="I246" s="52"/>
      <c r="J246" s="52"/>
      <c r="K246" s="52"/>
    </row>
    <row r="247" spans="1:11" s="23" customFormat="1" ht="101.25" customHeight="1">
      <c r="A247" s="349"/>
      <c r="B247" s="350"/>
      <c r="C247" s="25"/>
      <c r="D247" s="31"/>
      <c r="E247" s="31"/>
      <c r="F247" s="31"/>
      <c r="G247" s="31"/>
      <c r="H247" s="31"/>
      <c r="I247" s="31"/>
      <c r="J247" s="31"/>
      <c r="K247" s="55"/>
    </row>
    <row r="248" spans="1:11" s="23" customFormat="1" ht="15.75">
      <c r="A248" s="349"/>
      <c r="B248" s="350"/>
      <c r="C248" s="25"/>
      <c r="D248" s="31"/>
      <c r="E248" s="31"/>
      <c r="F248" s="31"/>
      <c r="G248" s="31"/>
      <c r="H248" s="31"/>
      <c r="I248" s="31"/>
      <c r="J248" s="31"/>
      <c r="K248" s="55"/>
    </row>
    <row r="249" spans="1:11" s="23" customFormat="1" ht="409.6" customHeight="1">
      <c r="A249" s="349"/>
      <c r="B249" s="350"/>
      <c r="C249" s="31"/>
      <c r="D249" s="31"/>
      <c r="E249" s="31"/>
      <c r="F249" s="31"/>
      <c r="G249" s="31"/>
      <c r="H249" s="31"/>
      <c r="I249" s="31"/>
      <c r="J249" s="31"/>
      <c r="K249" s="55"/>
    </row>
    <row r="250" spans="1:11" s="23" customFormat="1" ht="15.75">
      <c r="A250" s="349"/>
      <c r="B250" s="350"/>
      <c r="C250" s="31"/>
      <c r="D250" s="31"/>
      <c r="E250" s="31"/>
      <c r="F250" s="31"/>
      <c r="G250" s="31"/>
      <c r="H250" s="31"/>
      <c r="I250" s="31"/>
      <c r="J250" s="31"/>
      <c r="K250" s="30"/>
    </row>
    <row r="251" spans="1:11" s="23" customFormat="1" ht="15.75">
      <c r="A251" s="25"/>
      <c r="B251" s="29"/>
      <c r="C251" s="31"/>
      <c r="D251" s="31"/>
      <c r="E251" s="31"/>
      <c r="F251" s="31"/>
      <c r="G251" s="31"/>
      <c r="H251" s="31"/>
      <c r="I251" s="31"/>
      <c r="J251" s="30"/>
      <c r="K251" s="30"/>
    </row>
    <row r="252" spans="1:11" s="23" customFormat="1" ht="88.5" customHeight="1">
      <c r="A252" s="337"/>
      <c r="B252" s="353"/>
      <c r="C252" s="25"/>
      <c r="D252" s="31"/>
      <c r="E252" s="31"/>
      <c r="F252" s="31"/>
      <c r="G252" s="31"/>
      <c r="H252" s="31"/>
      <c r="I252" s="31"/>
      <c r="J252" s="30"/>
      <c r="K252" s="30"/>
    </row>
    <row r="253" spans="1:11" s="23" customFormat="1" ht="15.75">
      <c r="A253" s="337"/>
      <c r="B253" s="353"/>
      <c r="C253" s="25"/>
      <c r="D253" s="31"/>
      <c r="E253" s="31"/>
      <c r="F253" s="31"/>
      <c r="G253" s="31"/>
      <c r="H253" s="31"/>
      <c r="I253" s="31"/>
      <c r="J253" s="30"/>
      <c r="K253" s="30"/>
    </row>
    <row r="254" spans="1:11" s="23" customFormat="1" ht="88.5" customHeight="1">
      <c r="A254" s="337"/>
      <c r="B254" s="353"/>
      <c r="C254" s="25"/>
      <c r="D254" s="31"/>
      <c r="E254" s="31"/>
      <c r="F254" s="31"/>
      <c r="G254" s="31"/>
      <c r="H254" s="31"/>
      <c r="I254" s="31"/>
      <c r="J254" s="30"/>
      <c r="K254" s="30"/>
    </row>
    <row r="255" spans="1:11" s="23" customFormat="1" ht="15.75">
      <c r="A255" s="337"/>
      <c r="B255" s="353"/>
      <c r="C255" s="25"/>
      <c r="D255" s="31"/>
      <c r="E255" s="31"/>
      <c r="F255" s="31"/>
      <c r="G255" s="31"/>
      <c r="H255" s="31"/>
      <c r="I255" s="31"/>
      <c r="J255" s="30"/>
      <c r="K255" s="30"/>
    </row>
    <row r="256" spans="1:11" s="23" customFormat="1" ht="88.5" customHeight="1">
      <c r="A256" s="349"/>
      <c r="B256" s="350"/>
      <c r="C256" s="25"/>
      <c r="D256" s="31"/>
      <c r="E256" s="31"/>
      <c r="F256" s="31"/>
      <c r="G256" s="31"/>
      <c r="H256" s="31"/>
      <c r="I256" s="31"/>
      <c r="J256" s="25"/>
      <c r="K256" s="25"/>
    </row>
    <row r="257" spans="1:11" s="23" customFormat="1">
      <c r="A257" s="349"/>
      <c r="B257" s="350"/>
      <c r="C257" s="25"/>
      <c r="D257" s="31"/>
      <c r="E257" s="31"/>
      <c r="F257" s="31"/>
      <c r="G257" s="31"/>
      <c r="H257" s="31"/>
      <c r="I257" s="31"/>
      <c r="J257" s="25"/>
      <c r="K257" s="25"/>
    </row>
    <row r="258" spans="1:11" s="23" customFormat="1" ht="101.25" customHeight="1">
      <c r="A258" s="349"/>
      <c r="B258" s="350"/>
      <c r="C258" s="25"/>
      <c r="D258" s="31"/>
      <c r="E258" s="31"/>
      <c r="F258" s="31"/>
      <c r="G258" s="31"/>
      <c r="H258" s="31"/>
      <c r="I258" s="31"/>
      <c r="J258" s="25"/>
      <c r="K258" s="25"/>
    </row>
    <row r="259" spans="1:11" s="23" customFormat="1">
      <c r="A259" s="349"/>
      <c r="B259" s="350"/>
      <c r="C259" s="25"/>
      <c r="D259" s="31"/>
      <c r="E259" s="31"/>
      <c r="F259" s="31"/>
      <c r="G259" s="31"/>
      <c r="H259" s="31"/>
      <c r="I259" s="31"/>
      <c r="J259" s="25"/>
      <c r="K259" s="25"/>
    </row>
    <row r="260" spans="1:11" s="23" customFormat="1" ht="126.75" customHeight="1">
      <c r="A260" s="349"/>
      <c r="B260" s="350"/>
      <c r="C260" s="25"/>
      <c r="D260" s="31"/>
      <c r="E260" s="31"/>
      <c r="F260" s="31"/>
      <c r="G260" s="31"/>
      <c r="H260" s="31"/>
      <c r="I260" s="31"/>
      <c r="J260" s="25"/>
      <c r="K260" s="25"/>
    </row>
    <row r="261" spans="1:11" s="23" customFormat="1">
      <c r="A261" s="349"/>
      <c r="B261" s="350"/>
      <c r="C261" s="25"/>
      <c r="D261" s="31"/>
      <c r="E261" s="31"/>
      <c r="F261" s="31"/>
      <c r="G261" s="31"/>
      <c r="H261" s="31"/>
      <c r="I261" s="31"/>
      <c r="J261" s="25"/>
      <c r="K261" s="25"/>
    </row>
    <row r="262" spans="1:11" s="23" customFormat="1" ht="114" customHeight="1">
      <c r="A262" s="349"/>
      <c r="B262" s="350"/>
      <c r="C262" s="25"/>
      <c r="D262" s="31"/>
      <c r="E262" s="31"/>
      <c r="F262" s="31"/>
      <c r="G262" s="31"/>
      <c r="H262" s="31"/>
      <c r="I262" s="31"/>
      <c r="J262" s="25"/>
      <c r="K262" s="25"/>
    </row>
    <row r="263" spans="1:11" s="23" customFormat="1" ht="15.75">
      <c r="A263" s="349"/>
      <c r="B263" s="350"/>
      <c r="C263" s="25"/>
      <c r="D263" s="31"/>
      <c r="E263" s="31"/>
      <c r="F263" s="31"/>
      <c r="G263" s="31"/>
      <c r="H263" s="31"/>
      <c r="I263" s="31"/>
      <c r="J263" s="30"/>
      <c r="K263" s="30"/>
    </row>
    <row r="264" spans="1:11" s="23" customFormat="1" ht="15.75">
      <c r="A264" s="25"/>
      <c r="B264" s="29"/>
      <c r="C264" s="31"/>
      <c r="D264" s="31"/>
      <c r="E264" s="31"/>
      <c r="F264" s="31"/>
      <c r="G264" s="31"/>
      <c r="H264" s="31"/>
      <c r="I264" s="31"/>
      <c r="J264" s="30"/>
      <c r="K264" s="30"/>
    </row>
    <row r="265" spans="1:11" s="23" customFormat="1" ht="15.75">
      <c r="A265" s="25"/>
      <c r="B265" s="29"/>
      <c r="C265" s="31"/>
      <c r="D265" s="31"/>
      <c r="E265" s="31"/>
      <c r="F265" s="31"/>
      <c r="G265" s="31"/>
      <c r="H265" s="31"/>
      <c r="I265" s="31"/>
      <c r="J265" s="55"/>
      <c r="K265" s="55"/>
    </row>
    <row r="266" spans="1:11" s="23" customFormat="1" ht="15.75">
      <c r="A266" s="25"/>
      <c r="B266" s="29"/>
      <c r="C266" s="31"/>
      <c r="D266" s="31"/>
      <c r="E266" s="31"/>
      <c r="F266" s="31"/>
      <c r="G266" s="31"/>
      <c r="H266" s="31"/>
      <c r="I266" s="31"/>
      <c r="J266" s="30"/>
      <c r="K266" s="30"/>
    </row>
    <row r="267" spans="1:11" s="23" customFormat="1" ht="15.75">
      <c r="A267" s="25"/>
      <c r="B267" s="29"/>
      <c r="C267" s="31"/>
      <c r="D267" s="31"/>
      <c r="E267" s="31"/>
      <c r="F267" s="31"/>
      <c r="G267" s="31"/>
      <c r="H267" s="31"/>
      <c r="I267" s="31"/>
      <c r="J267" s="31"/>
      <c r="K267" s="30"/>
    </row>
    <row r="268" spans="1:11" s="23" customFormat="1" ht="15.75">
      <c r="A268" s="25"/>
      <c r="B268" s="29"/>
      <c r="C268" s="31"/>
      <c r="D268" s="31"/>
      <c r="E268" s="31"/>
      <c r="F268" s="31"/>
      <c r="G268" s="31"/>
      <c r="H268" s="31"/>
      <c r="I268" s="31"/>
      <c r="J268" s="30"/>
      <c r="K268" s="30"/>
    </row>
    <row r="269" spans="1:11" s="23" customFormat="1" ht="15.75">
      <c r="A269" s="25"/>
      <c r="B269" s="29"/>
      <c r="C269" s="31"/>
      <c r="D269" s="31"/>
      <c r="E269" s="31"/>
      <c r="F269" s="31"/>
      <c r="G269" s="31"/>
      <c r="H269" s="31"/>
      <c r="I269" s="31"/>
      <c r="J269" s="30"/>
      <c r="K269" s="30"/>
    </row>
    <row r="270" spans="1:11" s="23" customFormat="1" ht="13.5">
      <c r="A270" s="25"/>
      <c r="B270" s="54"/>
      <c r="C270" s="57"/>
      <c r="D270" s="52"/>
      <c r="E270" s="52"/>
      <c r="F270" s="52"/>
      <c r="G270" s="52"/>
      <c r="H270" s="52"/>
      <c r="I270" s="52"/>
      <c r="J270" s="52"/>
      <c r="K270" s="52"/>
    </row>
    <row r="271" spans="1:11" s="23" customFormat="1">
      <c r="A271" s="25"/>
      <c r="B271" s="29"/>
      <c r="C271" s="31"/>
      <c r="D271" s="31"/>
      <c r="E271" s="31"/>
      <c r="F271" s="31"/>
      <c r="G271" s="31"/>
      <c r="H271" s="31"/>
      <c r="I271" s="31"/>
      <c r="J271" s="31"/>
      <c r="K271" s="31"/>
    </row>
    <row r="272" spans="1:11" s="23" customFormat="1" ht="15.75">
      <c r="A272" s="38"/>
    </row>
    <row r="273" spans="1:11" s="23" customFormat="1" ht="15.75">
      <c r="A273" s="38"/>
    </row>
    <row r="274" spans="1:11" s="23" customFormat="1"/>
    <row r="275" spans="1:11" s="23" customFormat="1" ht="15.75">
      <c r="A275" s="22"/>
    </row>
    <row r="276" spans="1:11" s="23" customFormat="1" ht="15.75">
      <c r="A276" s="22"/>
    </row>
    <row r="277" spans="1:11" s="23" customFormat="1" ht="15.75">
      <c r="A277" s="22"/>
    </row>
    <row r="278" spans="1:11" s="23" customFormat="1" ht="15.75">
      <c r="A278" s="22"/>
    </row>
    <row r="279" spans="1:11" s="23" customFormat="1" ht="15.75">
      <c r="A279" s="38"/>
    </row>
    <row r="280" spans="1:11" s="23" customFormat="1" ht="15.75">
      <c r="A280" s="38"/>
    </row>
    <row r="281" spans="1:11" s="23" customFormat="1" ht="15.75">
      <c r="A281" s="38"/>
    </row>
    <row r="282" spans="1:11" s="23" customFormat="1" ht="15.75">
      <c r="A282" s="38"/>
    </row>
    <row r="283" spans="1:11" s="23" customFormat="1" ht="24.75" customHeight="1">
      <c r="A283" s="337"/>
      <c r="B283" s="337"/>
      <c r="C283" s="337"/>
      <c r="D283" s="337"/>
      <c r="E283" s="337"/>
      <c r="F283" s="337"/>
      <c r="G283" s="337"/>
      <c r="H283" s="337"/>
      <c r="I283" s="337"/>
      <c r="J283" s="337"/>
      <c r="K283" s="337"/>
    </row>
    <row r="284" spans="1:11" s="23" customFormat="1">
      <c r="A284" s="337"/>
      <c r="B284" s="337"/>
      <c r="C284" s="337"/>
      <c r="D284" s="337"/>
      <c r="E284" s="31"/>
      <c r="F284" s="31"/>
      <c r="G284" s="31"/>
      <c r="H284" s="31"/>
      <c r="I284" s="31"/>
      <c r="J284" s="31"/>
      <c r="K284" s="31"/>
    </row>
    <row r="285" spans="1:11" s="23" customFormat="1">
      <c r="A285" s="337"/>
      <c r="B285" s="337"/>
      <c r="C285" s="337"/>
      <c r="D285" s="337"/>
      <c r="E285" s="31"/>
      <c r="F285" s="31"/>
      <c r="G285" s="31"/>
      <c r="H285" s="31"/>
      <c r="I285" s="31"/>
      <c r="J285" s="31"/>
      <c r="K285" s="31"/>
    </row>
    <row r="286" spans="1:11" s="23" customForma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</row>
    <row r="287" spans="1:11" s="23" customFormat="1" ht="156" customHeight="1">
      <c r="A287" s="352"/>
      <c r="B287" s="344"/>
      <c r="C287" s="48"/>
      <c r="D287" s="40"/>
      <c r="E287" s="40"/>
      <c r="F287" s="40"/>
      <c r="G287" s="40"/>
      <c r="H287" s="40"/>
      <c r="I287" s="33"/>
      <c r="J287" s="33"/>
      <c r="K287" s="40"/>
    </row>
    <row r="288" spans="1:11" s="23" customFormat="1" ht="14.25">
      <c r="A288" s="352"/>
      <c r="B288" s="344"/>
      <c r="C288" s="48"/>
      <c r="D288" s="40"/>
      <c r="E288" s="40"/>
      <c r="F288" s="40"/>
      <c r="G288" s="40"/>
      <c r="H288" s="40"/>
      <c r="I288" s="40"/>
      <c r="J288" s="40"/>
      <c r="K288" s="33"/>
    </row>
    <row r="289" spans="1:11" s="23" customFormat="1" ht="126.75" customHeight="1">
      <c r="A289" s="349"/>
      <c r="B289" s="350"/>
      <c r="C289" s="25"/>
      <c r="D289" s="31"/>
      <c r="E289" s="31"/>
      <c r="F289" s="31"/>
      <c r="G289" s="31"/>
      <c r="H289" s="27"/>
      <c r="I289" s="27"/>
      <c r="J289" s="27"/>
      <c r="K289" s="27"/>
    </row>
    <row r="290" spans="1:11" s="23" customFormat="1">
      <c r="A290" s="349"/>
      <c r="B290" s="350"/>
      <c r="C290" s="25"/>
      <c r="D290" s="31"/>
      <c r="E290" s="31"/>
      <c r="F290" s="31"/>
      <c r="G290" s="31"/>
      <c r="H290" s="27"/>
      <c r="I290" s="27"/>
      <c r="J290" s="27"/>
      <c r="K290" s="27"/>
    </row>
    <row r="291" spans="1:11" s="23" customFormat="1">
      <c r="A291" s="349"/>
      <c r="B291" s="29"/>
      <c r="C291" s="337"/>
      <c r="D291" s="337"/>
      <c r="E291" s="337"/>
      <c r="F291" s="337"/>
      <c r="G291" s="337"/>
      <c r="H291" s="345"/>
      <c r="I291" s="345"/>
      <c r="J291" s="338"/>
      <c r="K291" s="338"/>
    </row>
    <row r="292" spans="1:11" s="23" customFormat="1">
      <c r="A292" s="349"/>
      <c r="B292" s="29"/>
      <c r="C292" s="337"/>
      <c r="D292" s="337"/>
      <c r="E292" s="337"/>
      <c r="F292" s="337"/>
      <c r="G292" s="337"/>
      <c r="H292" s="345"/>
      <c r="I292" s="345"/>
      <c r="J292" s="338"/>
      <c r="K292" s="338"/>
    </row>
    <row r="293" spans="1:11" s="23" customFormat="1">
      <c r="A293" s="349"/>
      <c r="B293" s="29"/>
      <c r="C293" s="337"/>
      <c r="D293" s="337"/>
      <c r="E293" s="337"/>
      <c r="F293" s="337"/>
      <c r="G293" s="337"/>
      <c r="H293" s="345"/>
      <c r="I293" s="345"/>
      <c r="J293" s="338"/>
      <c r="K293" s="338"/>
    </row>
    <row r="294" spans="1:11" s="23" customFormat="1">
      <c r="A294" s="349"/>
      <c r="B294" s="29"/>
      <c r="C294" s="337"/>
      <c r="D294" s="337"/>
      <c r="E294" s="337"/>
      <c r="F294" s="337"/>
      <c r="G294" s="337"/>
      <c r="H294" s="345"/>
      <c r="I294" s="345"/>
      <c r="J294" s="338"/>
      <c r="K294" s="338"/>
    </row>
    <row r="295" spans="1:11" s="23" customFormat="1">
      <c r="A295" s="349"/>
      <c r="B295" s="29"/>
      <c r="C295" s="31"/>
      <c r="D295" s="31"/>
      <c r="E295" s="31"/>
      <c r="F295" s="31"/>
      <c r="G295" s="31"/>
      <c r="H295" s="32"/>
      <c r="I295" s="32"/>
      <c r="J295" s="27"/>
      <c r="K295" s="27"/>
    </row>
    <row r="296" spans="1:11" s="23" customFormat="1">
      <c r="A296" s="349"/>
      <c r="B296" s="29"/>
      <c r="C296" s="31"/>
      <c r="D296" s="31"/>
      <c r="E296" s="31"/>
      <c r="F296" s="31"/>
      <c r="G296" s="31"/>
      <c r="H296" s="31"/>
      <c r="I296" s="31"/>
      <c r="J296" s="27"/>
      <c r="K296" s="27"/>
    </row>
    <row r="297" spans="1:11" s="23" customFormat="1">
      <c r="A297" s="349"/>
      <c r="B297" s="29"/>
      <c r="C297" s="31"/>
      <c r="D297" s="31"/>
      <c r="E297" s="31"/>
      <c r="F297" s="31"/>
      <c r="G297" s="31"/>
      <c r="H297" s="31"/>
      <c r="I297" s="31"/>
      <c r="J297" s="27"/>
      <c r="K297" s="27"/>
    </row>
    <row r="298" spans="1:11" s="23" customFormat="1" ht="88.5" customHeight="1">
      <c r="A298" s="349"/>
      <c r="B298" s="350"/>
      <c r="C298" s="31"/>
      <c r="D298" s="31"/>
      <c r="E298" s="31"/>
      <c r="F298" s="31"/>
      <c r="G298" s="31"/>
      <c r="H298" s="31"/>
      <c r="I298" s="31"/>
      <c r="J298" s="27"/>
      <c r="K298" s="27"/>
    </row>
    <row r="299" spans="1:11" s="23" customFormat="1">
      <c r="A299" s="349"/>
      <c r="B299" s="350"/>
      <c r="C299" s="31"/>
      <c r="D299" s="31"/>
      <c r="E299" s="31"/>
      <c r="F299" s="31"/>
      <c r="G299" s="31"/>
      <c r="H299" s="31"/>
      <c r="I299" s="31"/>
      <c r="J299" s="27"/>
      <c r="K299" s="27"/>
    </row>
    <row r="300" spans="1:11" s="23" customFormat="1" ht="101.25" customHeight="1">
      <c r="A300" s="349"/>
      <c r="B300" s="350"/>
      <c r="C300" s="31"/>
      <c r="D300" s="31"/>
      <c r="E300" s="31"/>
      <c r="F300" s="31"/>
      <c r="G300" s="31"/>
      <c r="H300" s="31"/>
      <c r="I300" s="31"/>
      <c r="J300" s="27"/>
      <c r="K300" s="27"/>
    </row>
    <row r="301" spans="1:11" s="23" customFormat="1">
      <c r="A301" s="349"/>
      <c r="B301" s="350"/>
      <c r="C301" s="31"/>
      <c r="D301" s="31"/>
      <c r="E301" s="31"/>
      <c r="F301" s="31"/>
      <c r="G301" s="31"/>
      <c r="H301" s="31"/>
      <c r="I301" s="31"/>
      <c r="J301" s="27"/>
      <c r="K301" s="27"/>
    </row>
    <row r="302" spans="1:11" s="23" customFormat="1" ht="190.5" customHeight="1">
      <c r="A302" s="349"/>
      <c r="B302" s="351"/>
      <c r="C302" s="31"/>
      <c r="D302" s="31"/>
      <c r="E302" s="31"/>
      <c r="F302" s="31"/>
      <c r="G302" s="31"/>
      <c r="H302" s="31"/>
      <c r="I302" s="25"/>
      <c r="J302" s="25"/>
      <c r="K302" s="25"/>
    </row>
    <row r="303" spans="1:11" s="23" customFormat="1">
      <c r="A303" s="349"/>
      <c r="B303" s="351"/>
      <c r="C303" s="31"/>
      <c r="D303" s="31"/>
      <c r="E303" s="31"/>
      <c r="F303" s="31"/>
      <c r="G303" s="31"/>
      <c r="H303" s="31"/>
      <c r="I303" s="31"/>
      <c r="J303" s="31"/>
      <c r="K303" s="31"/>
    </row>
    <row r="304" spans="1:11" s="23" customFormat="1">
      <c r="A304" s="25"/>
      <c r="B304" s="29"/>
      <c r="C304" s="31"/>
      <c r="D304" s="31"/>
      <c r="E304" s="31"/>
      <c r="F304" s="31"/>
      <c r="G304" s="31"/>
      <c r="H304" s="31"/>
      <c r="I304" s="31"/>
      <c r="J304" s="29"/>
      <c r="K304" s="29"/>
    </row>
    <row r="305" spans="1:11" s="23" customFormat="1" ht="14.25">
      <c r="A305" s="28"/>
      <c r="B305" s="48"/>
      <c r="C305" s="40"/>
      <c r="D305" s="40"/>
      <c r="E305" s="40"/>
      <c r="F305" s="40"/>
      <c r="G305" s="40"/>
      <c r="H305" s="40"/>
      <c r="I305" s="40"/>
      <c r="J305" s="48"/>
      <c r="K305" s="48"/>
    </row>
    <row r="306" spans="1:11" s="23" customFormat="1" ht="15">
      <c r="A306" s="25"/>
      <c r="B306" s="34"/>
      <c r="C306" s="37"/>
      <c r="D306" s="37"/>
      <c r="E306" s="37"/>
      <c r="F306" s="37"/>
      <c r="G306" s="37"/>
      <c r="H306" s="37"/>
      <c r="I306" s="37"/>
      <c r="J306" s="34"/>
      <c r="K306" s="34"/>
    </row>
    <row r="307" spans="1:11" s="23" customFormat="1">
      <c r="A307" s="28"/>
      <c r="B307" s="27"/>
      <c r="C307" s="31"/>
      <c r="D307" s="31"/>
      <c r="E307" s="31"/>
      <c r="F307" s="31"/>
      <c r="G307" s="31"/>
      <c r="H307" s="31"/>
      <c r="I307" s="31"/>
      <c r="J307" s="29"/>
      <c r="K307" s="29"/>
    </row>
    <row r="308" spans="1:11" s="23" customFormat="1">
      <c r="A308" s="28"/>
      <c r="B308" s="27"/>
      <c r="C308" s="31"/>
      <c r="D308" s="31"/>
      <c r="E308" s="31"/>
      <c r="F308" s="31"/>
      <c r="G308" s="31"/>
      <c r="H308" s="31"/>
      <c r="I308" s="31"/>
      <c r="J308" s="29"/>
      <c r="K308" s="29"/>
    </row>
    <row r="309" spans="1:11" s="23" customFormat="1">
      <c r="A309" s="28"/>
      <c r="B309" s="27"/>
      <c r="C309" s="31"/>
      <c r="D309" s="31"/>
      <c r="E309" s="31"/>
      <c r="F309" s="31"/>
      <c r="G309" s="31"/>
      <c r="H309" s="31"/>
      <c r="I309" s="31"/>
      <c r="J309" s="29"/>
      <c r="K309" s="29"/>
    </row>
    <row r="310" spans="1:11" s="23" customFormat="1" ht="14.25">
      <c r="A310" s="343"/>
      <c r="B310" s="48"/>
      <c r="C310" s="343"/>
      <c r="D310" s="343"/>
      <c r="E310" s="343"/>
      <c r="F310" s="343"/>
      <c r="G310" s="343"/>
      <c r="H310" s="343"/>
      <c r="I310" s="343"/>
      <c r="J310" s="343"/>
      <c r="K310" s="344"/>
    </row>
    <row r="311" spans="1:11" s="23" customFormat="1" ht="14.25">
      <c r="A311" s="343"/>
      <c r="B311" s="48"/>
      <c r="C311" s="343"/>
      <c r="D311" s="343"/>
      <c r="E311" s="343"/>
      <c r="F311" s="343"/>
      <c r="G311" s="343"/>
      <c r="H311" s="343"/>
      <c r="I311" s="343"/>
      <c r="J311" s="343"/>
      <c r="K311" s="344"/>
    </row>
    <row r="312" spans="1:11" s="23" customFormat="1" ht="15">
      <c r="A312" s="42"/>
      <c r="B312" s="50"/>
      <c r="C312" s="52"/>
      <c r="D312" s="57"/>
      <c r="E312" s="57"/>
      <c r="F312" s="57"/>
      <c r="G312" s="57"/>
      <c r="H312" s="57"/>
      <c r="I312" s="49"/>
      <c r="J312" s="49"/>
      <c r="K312" s="49"/>
    </row>
    <row r="313" spans="1:11" s="23" customFormat="1">
      <c r="A313" s="43"/>
      <c r="B313" s="29"/>
      <c r="C313" s="31"/>
      <c r="D313" s="31"/>
      <c r="E313" s="31"/>
      <c r="F313" s="31"/>
      <c r="G313" s="31"/>
      <c r="H313" s="31"/>
      <c r="I313" s="27"/>
      <c r="J313" s="27"/>
      <c r="K313" s="27"/>
    </row>
    <row r="314" spans="1:11" s="23" customFormat="1">
      <c r="A314" s="43"/>
      <c r="B314" s="29"/>
      <c r="C314" s="31"/>
      <c r="D314" s="31"/>
      <c r="E314" s="31"/>
      <c r="F314" s="31"/>
      <c r="G314" s="31"/>
      <c r="H314" s="31"/>
      <c r="I314" s="27"/>
      <c r="J314" s="27"/>
      <c r="K314" s="27"/>
    </row>
    <row r="315" spans="1:11" s="23" customFormat="1">
      <c r="A315" s="43"/>
      <c r="B315" s="29"/>
      <c r="C315" s="31"/>
      <c r="D315" s="31"/>
      <c r="E315" s="31"/>
      <c r="F315" s="31"/>
      <c r="G315" s="31"/>
      <c r="H315" s="31"/>
      <c r="I315" s="27"/>
      <c r="J315" s="27"/>
      <c r="K315" s="27"/>
    </row>
    <row r="316" spans="1:11" s="23" customFormat="1">
      <c r="A316" s="43"/>
      <c r="B316" s="29"/>
      <c r="C316" s="31"/>
      <c r="D316" s="31"/>
      <c r="E316" s="31"/>
      <c r="F316" s="31"/>
      <c r="G316" s="31"/>
      <c r="H316" s="31"/>
      <c r="I316" s="27"/>
      <c r="J316" s="27"/>
      <c r="K316" s="27"/>
    </row>
    <row r="317" spans="1:11" s="23" customFormat="1" ht="13.5">
      <c r="A317" s="42"/>
      <c r="B317" s="50"/>
      <c r="C317" s="52"/>
      <c r="D317" s="52"/>
      <c r="E317" s="52"/>
      <c r="F317" s="52"/>
      <c r="G317" s="52"/>
      <c r="H317" s="52"/>
      <c r="I317" s="52"/>
      <c r="J317" s="52"/>
      <c r="K317" s="27"/>
    </row>
    <row r="318" spans="1:11" s="23" customFormat="1">
      <c r="A318" s="43"/>
      <c r="B318" s="29"/>
      <c r="C318" s="31"/>
      <c r="D318" s="31"/>
      <c r="E318" s="31"/>
      <c r="F318" s="31"/>
      <c r="G318" s="31"/>
      <c r="H318" s="31"/>
      <c r="I318" s="31"/>
      <c r="J318" s="31"/>
      <c r="K318" s="27"/>
    </row>
    <row r="319" spans="1:11" s="23" customFormat="1">
      <c r="A319" s="346"/>
      <c r="B319" s="29"/>
      <c r="C319" s="337"/>
      <c r="D319" s="337"/>
      <c r="E319" s="337"/>
      <c r="F319" s="337"/>
      <c r="G319" s="337"/>
      <c r="H319" s="337"/>
      <c r="I319" s="337"/>
      <c r="J319" s="337"/>
      <c r="K319" s="338"/>
    </row>
    <row r="320" spans="1:11" s="23" customFormat="1">
      <c r="A320" s="346"/>
      <c r="B320" s="29"/>
      <c r="C320" s="337"/>
      <c r="D320" s="337"/>
      <c r="E320" s="337"/>
      <c r="F320" s="337"/>
      <c r="G320" s="337"/>
      <c r="H320" s="337"/>
      <c r="I320" s="337"/>
      <c r="J320" s="337"/>
      <c r="K320" s="338"/>
    </row>
    <row r="321" spans="1:11" s="23" customFormat="1">
      <c r="A321" s="43"/>
      <c r="B321" s="29"/>
      <c r="C321" s="31"/>
      <c r="D321" s="31"/>
      <c r="E321" s="31"/>
      <c r="F321" s="31"/>
      <c r="G321" s="31"/>
      <c r="H321" s="31"/>
      <c r="I321" s="31"/>
      <c r="J321" s="31"/>
      <c r="K321" s="27"/>
    </row>
    <row r="322" spans="1:11" s="23" customFormat="1">
      <c r="A322" s="43"/>
      <c r="B322" s="29"/>
      <c r="C322" s="31"/>
      <c r="D322" s="31"/>
      <c r="E322" s="31"/>
      <c r="F322" s="31"/>
      <c r="G322" s="31"/>
      <c r="H322" s="31"/>
      <c r="I322" s="31"/>
      <c r="J322" s="31"/>
      <c r="K322" s="27"/>
    </row>
    <row r="323" spans="1:11" s="23" customFormat="1">
      <c r="A323" s="43"/>
      <c r="B323" s="29"/>
      <c r="C323" s="31"/>
      <c r="D323" s="31"/>
      <c r="E323" s="31"/>
      <c r="F323" s="31"/>
      <c r="G323" s="31"/>
      <c r="H323" s="31"/>
      <c r="I323" s="31"/>
      <c r="J323" s="31"/>
      <c r="K323" s="27"/>
    </row>
    <row r="324" spans="1:11" s="23" customFormat="1">
      <c r="A324" s="43"/>
      <c r="B324" s="29"/>
      <c r="C324" s="31"/>
      <c r="D324" s="31"/>
      <c r="E324" s="31"/>
      <c r="F324" s="31"/>
      <c r="G324" s="31"/>
      <c r="H324" s="31"/>
      <c r="I324" s="31"/>
      <c r="J324" s="31"/>
      <c r="K324" s="27"/>
    </row>
    <row r="325" spans="1:11" s="23" customFormat="1">
      <c r="A325" s="43"/>
      <c r="B325" s="29"/>
      <c r="C325" s="31"/>
      <c r="D325" s="31"/>
      <c r="E325" s="31"/>
      <c r="F325" s="31"/>
      <c r="G325" s="31"/>
      <c r="H325" s="31"/>
      <c r="I325" s="31"/>
      <c r="J325" s="31"/>
      <c r="K325" s="27"/>
    </row>
    <row r="326" spans="1:11" s="23" customFormat="1" ht="13.5">
      <c r="A326" s="42"/>
      <c r="B326" s="54"/>
      <c r="C326" s="52"/>
      <c r="D326" s="52"/>
      <c r="E326" s="52"/>
      <c r="F326" s="52"/>
      <c r="G326" s="52"/>
      <c r="H326" s="52"/>
      <c r="I326" s="27"/>
      <c r="J326" s="27"/>
      <c r="K326" s="27"/>
    </row>
    <row r="327" spans="1:11" s="23" customFormat="1">
      <c r="A327" s="43"/>
      <c r="B327" s="29"/>
      <c r="C327" s="31"/>
      <c r="D327" s="31"/>
      <c r="E327" s="31"/>
      <c r="F327" s="31"/>
      <c r="G327" s="31"/>
      <c r="H327" s="31"/>
      <c r="I327" s="27"/>
      <c r="J327" s="27"/>
      <c r="K327" s="27"/>
    </row>
    <row r="328" spans="1:11" s="23" customFormat="1" ht="15">
      <c r="A328" s="36"/>
    </row>
    <row r="329" spans="1:11" s="23" customFormat="1"/>
    <row r="330" spans="1:11" s="23" customFormat="1"/>
    <row r="331" spans="1:11" s="23" customFormat="1"/>
    <row r="332" spans="1:11" s="23" customFormat="1"/>
    <row r="333" spans="1:11" s="23" customFormat="1"/>
    <row r="334" spans="1:11" s="23" customFormat="1"/>
    <row r="335" spans="1:11" s="23" customFormat="1"/>
    <row r="336" spans="1:11" s="23" customFormat="1"/>
    <row r="337" s="23" customFormat="1"/>
    <row r="338" s="23" customFormat="1"/>
    <row r="339" s="23" customFormat="1"/>
    <row r="340" s="23" customFormat="1"/>
    <row r="341" s="23" customFormat="1"/>
    <row r="342" s="23" customFormat="1"/>
    <row r="343" s="23" customFormat="1"/>
    <row r="344" s="23" customFormat="1"/>
    <row r="345" s="23" customFormat="1"/>
    <row r="346" s="23" customFormat="1"/>
    <row r="347" s="23" customFormat="1"/>
    <row r="348" s="23" customFormat="1"/>
    <row r="349" s="23" customFormat="1"/>
    <row r="350" s="23" customFormat="1"/>
    <row r="351" s="23" customFormat="1"/>
    <row r="352" s="23" customFormat="1"/>
    <row r="353" s="23" customFormat="1"/>
    <row r="354" s="23" customFormat="1"/>
    <row r="355" s="23" customFormat="1"/>
    <row r="356" s="23" customFormat="1"/>
    <row r="357" s="23" customFormat="1"/>
    <row r="358" s="23" customFormat="1"/>
    <row r="359" s="23" customFormat="1"/>
    <row r="360" s="23" customFormat="1"/>
    <row r="361" s="23" customFormat="1"/>
    <row r="362" s="23" customFormat="1"/>
    <row r="363" s="23" customFormat="1"/>
    <row r="364" s="23" customFormat="1"/>
    <row r="365" s="23" customFormat="1"/>
    <row r="366" s="23" customFormat="1"/>
    <row r="367" s="23" customFormat="1"/>
    <row r="368" s="23" customFormat="1"/>
    <row r="369" s="23" customFormat="1"/>
  </sheetData>
  <mergeCells count="467">
    <mergeCell ref="B22:J22"/>
    <mergeCell ref="K22:K23"/>
    <mergeCell ref="B14:K14"/>
    <mergeCell ref="N61:N64"/>
    <mergeCell ref="C63:D64"/>
    <mergeCell ref="E63:F64"/>
    <mergeCell ref="H63:I63"/>
    <mergeCell ref="H64:I64"/>
    <mergeCell ref="B24:K24"/>
    <mergeCell ref="B25:K25"/>
    <mergeCell ref="B15:K15"/>
    <mergeCell ref="A66:A68"/>
    <mergeCell ref="C66:C68"/>
    <mergeCell ref="D66:E68"/>
    <mergeCell ref="F66:H68"/>
    <mergeCell ref="D71:E71"/>
    <mergeCell ref="F71:H71"/>
    <mergeCell ref="C61:M61"/>
    <mergeCell ref="C62:M62"/>
    <mergeCell ref="K27:K34"/>
    <mergeCell ref="D70:E70"/>
    <mergeCell ref="F70:H70"/>
    <mergeCell ref="D65:E65"/>
    <mergeCell ref="F65:H65"/>
    <mergeCell ref="M66:M68"/>
    <mergeCell ref="D72:E72"/>
    <mergeCell ref="F72:H72"/>
    <mergeCell ref="D73:E73"/>
    <mergeCell ref="F73:H73"/>
    <mergeCell ref="D74:E74"/>
    <mergeCell ref="F74:H74"/>
    <mergeCell ref="N66:N68"/>
    <mergeCell ref="D69:E69"/>
    <mergeCell ref="F69:H69"/>
    <mergeCell ref="I66:I68"/>
    <mergeCell ref="J66:J68"/>
    <mergeCell ref="K66:K68"/>
    <mergeCell ref="L66:L68"/>
    <mergeCell ref="D78:E78"/>
    <mergeCell ref="F78:H78"/>
    <mergeCell ref="A81:A82"/>
    <mergeCell ref="C81:C82"/>
    <mergeCell ref="D81:E82"/>
    <mergeCell ref="F81:H82"/>
    <mergeCell ref="D75:E75"/>
    <mergeCell ref="F75:H75"/>
    <mergeCell ref="A79:A80"/>
    <mergeCell ref="B79:N80"/>
    <mergeCell ref="D76:E76"/>
    <mergeCell ref="F76:H76"/>
    <mergeCell ref="D77:E77"/>
    <mergeCell ref="F77:H77"/>
    <mergeCell ref="D85:E85"/>
    <mergeCell ref="F85:H85"/>
    <mergeCell ref="M81:M82"/>
    <mergeCell ref="N81:N82"/>
    <mergeCell ref="D83:E83"/>
    <mergeCell ref="F83:H83"/>
    <mergeCell ref="I81:I82"/>
    <mergeCell ref="J81:J82"/>
    <mergeCell ref="K81:K82"/>
    <mergeCell ref="L81:L82"/>
    <mergeCell ref="D84:E84"/>
    <mergeCell ref="F84:H84"/>
    <mergeCell ref="D90:E90"/>
    <mergeCell ref="F90:H90"/>
    <mergeCell ref="A93:A94"/>
    <mergeCell ref="C93:C94"/>
    <mergeCell ref="D93:E94"/>
    <mergeCell ref="F93:H94"/>
    <mergeCell ref="B86:M86"/>
    <mergeCell ref="D87:E87"/>
    <mergeCell ref="F87:H87"/>
    <mergeCell ref="D88:E88"/>
    <mergeCell ref="F88:H88"/>
    <mergeCell ref="D89:E89"/>
    <mergeCell ref="F89:H89"/>
    <mergeCell ref="D91:E91"/>
    <mergeCell ref="F91:H91"/>
    <mergeCell ref="B92:M92"/>
    <mergeCell ref="B100:M100"/>
    <mergeCell ref="N93:N94"/>
    <mergeCell ref="D95:E95"/>
    <mergeCell ref="F95:H95"/>
    <mergeCell ref="D96:E96"/>
    <mergeCell ref="F96:H96"/>
    <mergeCell ref="D97:E97"/>
    <mergeCell ref="F97:H97"/>
    <mergeCell ref="D98:E98"/>
    <mergeCell ref="F98:H98"/>
    <mergeCell ref="D99:E99"/>
    <mergeCell ref="F99:H99"/>
    <mergeCell ref="K93:K94"/>
    <mergeCell ref="L93:L94"/>
    <mergeCell ref="M93:M94"/>
    <mergeCell ref="I93:I94"/>
    <mergeCell ref="J93:J94"/>
    <mergeCell ref="D102:E102"/>
    <mergeCell ref="F102:H102"/>
    <mergeCell ref="D101:E101"/>
    <mergeCell ref="F101:H101"/>
    <mergeCell ref="N104:N106"/>
    <mergeCell ref="D107:E107"/>
    <mergeCell ref="F107:H107"/>
    <mergeCell ref="B103:M103"/>
    <mergeCell ref="K104:K106"/>
    <mergeCell ref="L104:L106"/>
    <mergeCell ref="J109:J110"/>
    <mergeCell ref="K109:K110"/>
    <mergeCell ref="L109:L110"/>
    <mergeCell ref="M104:M106"/>
    <mergeCell ref="I104:I106"/>
    <mergeCell ref="J104:J106"/>
    <mergeCell ref="A109:A110"/>
    <mergeCell ref="C109:C110"/>
    <mergeCell ref="D109:E110"/>
    <mergeCell ref="F109:H110"/>
    <mergeCell ref="A104:A106"/>
    <mergeCell ref="C104:C106"/>
    <mergeCell ref="D104:E106"/>
    <mergeCell ref="F104:H106"/>
    <mergeCell ref="D108:E108"/>
    <mergeCell ref="F108:H108"/>
    <mergeCell ref="A116:A117"/>
    <mergeCell ref="C116:C117"/>
    <mergeCell ref="D116:E117"/>
    <mergeCell ref="F116:H117"/>
    <mergeCell ref="D119:E119"/>
    <mergeCell ref="F119:H119"/>
    <mergeCell ref="D113:E113"/>
    <mergeCell ref="F113:H113"/>
    <mergeCell ref="M109:M110"/>
    <mergeCell ref="D112:E112"/>
    <mergeCell ref="F112:H112"/>
    <mergeCell ref="D114:E114"/>
    <mergeCell ref="F114:H114"/>
    <mergeCell ref="B115:N115"/>
    <mergeCell ref="K116:K117"/>
    <mergeCell ref="L116:L117"/>
    <mergeCell ref="M116:M117"/>
    <mergeCell ref="I116:I117"/>
    <mergeCell ref="J116:J117"/>
    <mergeCell ref="N116:N117"/>
    <mergeCell ref="N109:N110"/>
    <mergeCell ref="D111:E111"/>
    <mergeCell ref="F111:H111"/>
    <mergeCell ref="I109:I110"/>
    <mergeCell ref="D118:E118"/>
    <mergeCell ref="F118:H118"/>
    <mergeCell ref="D125:E125"/>
    <mergeCell ref="F125:H125"/>
    <mergeCell ref="B121:M121"/>
    <mergeCell ref="D122:E122"/>
    <mergeCell ref="F122:H122"/>
    <mergeCell ref="D123:E123"/>
    <mergeCell ref="F123:H123"/>
    <mergeCell ref="D124:E124"/>
    <mergeCell ref="F124:H124"/>
    <mergeCell ref="D120:E120"/>
    <mergeCell ref="F120:H120"/>
    <mergeCell ref="N128:N129"/>
    <mergeCell ref="D126:E126"/>
    <mergeCell ref="F126:H126"/>
    <mergeCell ref="B127:M127"/>
    <mergeCell ref="K128:K129"/>
    <mergeCell ref="I128:I129"/>
    <mergeCell ref="J128:J129"/>
    <mergeCell ref="L128:L129"/>
    <mergeCell ref="M128:M129"/>
    <mergeCell ref="N133:N135"/>
    <mergeCell ref="D136:E136"/>
    <mergeCell ref="F136:H136"/>
    <mergeCell ref="A133:A135"/>
    <mergeCell ref="C133:C135"/>
    <mergeCell ref="D133:E135"/>
    <mergeCell ref="F133:H135"/>
    <mergeCell ref="L133:L135"/>
    <mergeCell ref="M133:M135"/>
    <mergeCell ref="I133:I135"/>
    <mergeCell ref="J133:J135"/>
    <mergeCell ref="C154:C157"/>
    <mergeCell ref="D154:K155"/>
    <mergeCell ref="D156:D157"/>
    <mergeCell ref="F162:F163"/>
    <mergeCell ref="H162:H163"/>
    <mergeCell ref="H159:H161"/>
    <mergeCell ref="A128:A129"/>
    <mergeCell ref="C128:C129"/>
    <mergeCell ref="D128:E129"/>
    <mergeCell ref="F128:H129"/>
    <mergeCell ref="F159:F161"/>
    <mergeCell ref="G159:G161"/>
    <mergeCell ref="D131:E131"/>
    <mergeCell ref="F131:H131"/>
    <mergeCell ref="B132:M132"/>
    <mergeCell ref="K133:K135"/>
    <mergeCell ref="D130:E130"/>
    <mergeCell ref="F130:H130"/>
    <mergeCell ref="D137:E137"/>
    <mergeCell ref="F137:H137"/>
    <mergeCell ref="D138:E138"/>
    <mergeCell ref="F138:H138"/>
    <mergeCell ref="A159:A161"/>
    <mergeCell ref="C159:C161"/>
    <mergeCell ref="F165:F166"/>
    <mergeCell ref="K165:K166"/>
    <mergeCell ref="E159:E161"/>
    <mergeCell ref="E165:E166"/>
    <mergeCell ref="E162:E163"/>
    <mergeCell ref="J162:J163"/>
    <mergeCell ref="K162:K163"/>
    <mergeCell ref="I159:I161"/>
    <mergeCell ref="J159:J161"/>
    <mergeCell ref="K159:K161"/>
    <mergeCell ref="G162:G163"/>
    <mergeCell ref="J165:J166"/>
    <mergeCell ref="I162:I163"/>
    <mergeCell ref="D159:D161"/>
    <mergeCell ref="A162:A163"/>
    <mergeCell ref="B162:B163"/>
    <mergeCell ref="C162:C168"/>
    <mergeCell ref="D162:D163"/>
    <mergeCell ref="A165:A166"/>
    <mergeCell ref="D165:D166"/>
    <mergeCell ref="A167:A168"/>
    <mergeCell ref="D167:D168"/>
    <mergeCell ref="E167:E168"/>
    <mergeCell ref="F167:F168"/>
    <mergeCell ref="G167:G168"/>
    <mergeCell ref="H167:H168"/>
    <mergeCell ref="A173:A174"/>
    <mergeCell ref="D173:D174"/>
    <mergeCell ref="E173:E174"/>
    <mergeCell ref="J169:J170"/>
    <mergeCell ref="H169:H170"/>
    <mergeCell ref="J173:J174"/>
    <mergeCell ref="F173:F174"/>
    <mergeCell ref="G173:G174"/>
    <mergeCell ref="H173:H174"/>
    <mergeCell ref="I173:I174"/>
    <mergeCell ref="A169:A170"/>
    <mergeCell ref="B169:B170"/>
    <mergeCell ref="K173:K174"/>
    <mergeCell ref="K183:K184"/>
    <mergeCell ref="J175:J176"/>
    <mergeCell ref="K175:K176"/>
    <mergeCell ref="G183:G184"/>
    <mergeCell ref="I167:I168"/>
    <mergeCell ref="G165:G166"/>
    <mergeCell ref="H165:H166"/>
    <mergeCell ref="I165:I166"/>
    <mergeCell ref="I169:I170"/>
    <mergeCell ref="H183:H184"/>
    <mergeCell ref="I183:I184"/>
    <mergeCell ref="G169:G170"/>
    <mergeCell ref="J167:J168"/>
    <mergeCell ref="K167:K168"/>
    <mergeCell ref="K169:K170"/>
    <mergeCell ref="A183:A184"/>
    <mergeCell ref="B183:B184"/>
    <mergeCell ref="C183:C188"/>
    <mergeCell ref="D183:D184"/>
    <mergeCell ref="E183:E184"/>
    <mergeCell ref="E175:E176"/>
    <mergeCell ref="J183:J184"/>
    <mergeCell ref="H175:H176"/>
    <mergeCell ref="I175:I176"/>
    <mergeCell ref="A175:A176"/>
    <mergeCell ref="B175:B176"/>
    <mergeCell ref="D175:D176"/>
    <mergeCell ref="D189:D190"/>
    <mergeCell ref="B195:B196"/>
    <mergeCell ref="C195:C198"/>
    <mergeCell ref="D195:D196"/>
    <mergeCell ref="F175:F176"/>
    <mergeCell ref="G175:G176"/>
    <mergeCell ref="F183:F184"/>
    <mergeCell ref="C178:C182"/>
    <mergeCell ref="C169:C176"/>
    <mergeCell ref="D169:D170"/>
    <mergeCell ref="F169:F170"/>
    <mergeCell ref="E169:E170"/>
    <mergeCell ref="C199:C200"/>
    <mergeCell ref="A201:A202"/>
    <mergeCell ref="A203:A204"/>
    <mergeCell ref="B203:B204"/>
    <mergeCell ref="I189:I190"/>
    <mergeCell ref="J189:J190"/>
    <mergeCell ref="K189:K190"/>
    <mergeCell ref="A205:A206"/>
    <mergeCell ref="B205:B206"/>
    <mergeCell ref="H195:H196"/>
    <mergeCell ref="I195:I196"/>
    <mergeCell ref="J195:J196"/>
    <mergeCell ref="K195:K196"/>
    <mergeCell ref="A195:A196"/>
    <mergeCell ref="H189:H190"/>
    <mergeCell ref="G195:G196"/>
    <mergeCell ref="E189:E190"/>
    <mergeCell ref="F189:F190"/>
    <mergeCell ref="G189:G190"/>
    <mergeCell ref="E195:E196"/>
    <mergeCell ref="F195:F196"/>
    <mergeCell ref="A189:A190"/>
    <mergeCell ref="B189:B190"/>
    <mergeCell ref="C189:C194"/>
    <mergeCell ref="A212:A213"/>
    <mergeCell ref="B212:B213"/>
    <mergeCell ref="D212:D213"/>
    <mergeCell ref="E212:E213"/>
    <mergeCell ref="J208:J209"/>
    <mergeCell ref="K208:K209"/>
    <mergeCell ref="A210:A211"/>
    <mergeCell ref="B210:B211"/>
    <mergeCell ref="D210:D211"/>
    <mergeCell ref="E210:E211"/>
    <mergeCell ref="F210:F211"/>
    <mergeCell ref="G210:G211"/>
    <mergeCell ref="H210:H211"/>
    <mergeCell ref="I210:I211"/>
    <mergeCell ref="D208:D209"/>
    <mergeCell ref="E208:E209"/>
    <mergeCell ref="F208:F209"/>
    <mergeCell ref="G208:G209"/>
    <mergeCell ref="H208:H209"/>
    <mergeCell ref="I208:I209"/>
    <mergeCell ref="A208:A209"/>
    <mergeCell ref="B208:B209"/>
    <mergeCell ref="J210:J211"/>
    <mergeCell ref="K210:K211"/>
    <mergeCell ref="J212:J213"/>
    <mergeCell ref="K212:K213"/>
    <mergeCell ref="J216:J217"/>
    <mergeCell ref="K216:K217"/>
    <mergeCell ref="J214:J215"/>
    <mergeCell ref="K214:K215"/>
    <mergeCell ref="F212:F213"/>
    <mergeCell ref="G212:G213"/>
    <mergeCell ref="H212:H213"/>
    <mergeCell ref="I212:I213"/>
    <mergeCell ref="H214:H215"/>
    <mergeCell ref="I214:I215"/>
    <mergeCell ref="H216:H217"/>
    <mergeCell ref="I216:I217"/>
    <mergeCell ref="A216:A217"/>
    <mergeCell ref="B216:B217"/>
    <mergeCell ref="D216:D217"/>
    <mergeCell ref="E216:E217"/>
    <mergeCell ref="F216:F217"/>
    <mergeCell ref="G216:G217"/>
    <mergeCell ref="A214:A215"/>
    <mergeCell ref="B214:B215"/>
    <mergeCell ref="D214:D215"/>
    <mergeCell ref="E214:E215"/>
    <mergeCell ref="F214:F215"/>
    <mergeCell ref="G214:G215"/>
    <mergeCell ref="A224:A225"/>
    <mergeCell ref="B224:B225"/>
    <mergeCell ref="A226:A227"/>
    <mergeCell ref="B226:B227"/>
    <mergeCell ref="A220:A221"/>
    <mergeCell ref="B220:B221"/>
    <mergeCell ref="A222:A223"/>
    <mergeCell ref="B222:B223"/>
    <mergeCell ref="A218:A219"/>
    <mergeCell ref="B218:B219"/>
    <mergeCell ref="J232:J233"/>
    <mergeCell ref="K232:K233"/>
    <mergeCell ref="A230:A231"/>
    <mergeCell ref="B230:B231"/>
    <mergeCell ref="A235:A236"/>
    <mergeCell ref="B235:B236"/>
    <mergeCell ref="F232:F233"/>
    <mergeCell ref="G232:G233"/>
    <mergeCell ref="D232:D233"/>
    <mergeCell ref="E232:E233"/>
    <mergeCell ref="A237:A238"/>
    <mergeCell ref="B237:B238"/>
    <mergeCell ref="A239:A240"/>
    <mergeCell ref="B239:B240"/>
    <mergeCell ref="H232:H233"/>
    <mergeCell ref="I232:I233"/>
    <mergeCell ref="A232:A234"/>
    <mergeCell ref="C232:C233"/>
    <mergeCell ref="A228:A229"/>
    <mergeCell ref="B228:B229"/>
    <mergeCell ref="A252:A253"/>
    <mergeCell ref="B252:B253"/>
    <mergeCell ref="A254:A255"/>
    <mergeCell ref="B254:B255"/>
    <mergeCell ref="A256:A257"/>
    <mergeCell ref="B256:B257"/>
    <mergeCell ref="A249:A250"/>
    <mergeCell ref="B249:B250"/>
    <mergeCell ref="A241:A242"/>
    <mergeCell ref="B241:B242"/>
    <mergeCell ref="A245:A246"/>
    <mergeCell ref="B245:B246"/>
    <mergeCell ref="A247:A248"/>
    <mergeCell ref="B247:B248"/>
    <mergeCell ref="A258:A259"/>
    <mergeCell ref="B258:B259"/>
    <mergeCell ref="C283:C285"/>
    <mergeCell ref="D283:K283"/>
    <mergeCell ref="D284:D285"/>
    <mergeCell ref="A260:A261"/>
    <mergeCell ref="B260:B261"/>
    <mergeCell ref="A262:A263"/>
    <mergeCell ref="B262:B263"/>
    <mergeCell ref="A283:A285"/>
    <mergeCell ref="A298:A299"/>
    <mergeCell ref="B298:B299"/>
    <mergeCell ref="F291:F294"/>
    <mergeCell ref="C291:C294"/>
    <mergeCell ref="D291:D294"/>
    <mergeCell ref="E291:E294"/>
    <mergeCell ref="A291:A295"/>
    <mergeCell ref="B283:B285"/>
    <mergeCell ref="A287:A288"/>
    <mergeCell ref="B287:B288"/>
    <mergeCell ref="A289:A290"/>
    <mergeCell ref="B289:B290"/>
    <mergeCell ref="A296:A297"/>
    <mergeCell ref="E319:E320"/>
    <mergeCell ref="F310:F311"/>
    <mergeCell ref="G310:G311"/>
    <mergeCell ref="H310:H311"/>
    <mergeCell ref="A310:A311"/>
    <mergeCell ref="C310:C311"/>
    <mergeCell ref="A300:A301"/>
    <mergeCell ref="B300:B301"/>
    <mergeCell ref="A302:A303"/>
    <mergeCell ref="B302:B303"/>
    <mergeCell ref="B13:K13"/>
    <mergeCell ref="H319:H320"/>
    <mergeCell ref="I319:I320"/>
    <mergeCell ref="J319:J320"/>
    <mergeCell ref="K319:K320"/>
    <mergeCell ref="A4:K4"/>
    <mergeCell ref="B18:K18"/>
    <mergeCell ref="K20:K21"/>
    <mergeCell ref="D310:D311"/>
    <mergeCell ref="E310:E311"/>
    <mergeCell ref="J310:J311"/>
    <mergeCell ref="K310:K311"/>
    <mergeCell ref="I291:I294"/>
    <mergeCell ref="I310:I311"/>
    <mergeCell ref="J291:J294"/>
    <mergeCell ref="K291:K294"/>
    <mergeCell ref="F319:F320"/>
    <mergeCell ref="G319:G320"/>
    <mergeCell ref="G291:G294"/>
    <mergeCell ref="H291:H294"/>
    <mergeCell ref="A319:A320"/>
    <mergeCell ref="C319:C320"/>
    <mergeCell ref="D319:D320"/>
    <mergeCell ref="B10:B11"/>
    <mergeCell ref="A10:A11"/>
    <mergeCell ref="C10:C11"/>
    <mergeCell ref="A6:K6"/>
    <mergeCell ref="A7:K7"/>
    <mergeCell ref="A8:K8"/>
    <mergeCell ref="D10:J10"/>
    <mergeCell ref="K10:K11"/>
    <mergeCell ref="A1:K1"/>
    <mergeCell ref="A2:K2"/>
    <mergeCell ref="A3:K3"/>
  </mergeCells>
  <phoneticPr fontId="0" type="noConversion"/>
  <pageMargins left="0.19685039370078741" right="0.19685039370078741" top="0.98425196850393704" bottom="0.39370078740157483" header="0.51181102362204722" footer="0.31496062992125984"/>
  <pageSetup paperSize="9" scale="92" orientation="landscape" r:id="rId1"/>
  <headerFooter alignWithMargins="0"/>
  <rowBreaks count="3" manualBreakCount="3">
    <brk id="17" max="10" man="1"/>
    <brk id="23" max="16383" man="1"/>
    <brk id="3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K87"/>
  <sheetViews>
    <sheetView view="pageLayout" zoomScaleNormal="75" workbookViewId="0">
      <selection sqref="A1:K1"/>
    </sheetView>
  </sheetViews>
  <sheetFormatPr defaultRowHeight="12.75"/>
  <cols>
    <col min="1" max="1" width="7.140625" customWidth="1"/>
    <col min="2" max="2" width="36.7109375" customWidth="1"/>
    <col min="3" max="3" width="14.85546875" customWidth="1"/>
    <col min="4" max="4" width="13.42578125" customWidth="1"/>
    <col min="5" max="5" width="13.140625" style="152" customWidth="1"/>
    <col min="6" max="6" width="15.7109375" customWidth="1"/>
    <col min="7" max="8" width="14" customWidth="1"/>
    <col min="9" max="9" width="14.42578125" customWidth="1"/>
    <col min="10" max="10" width="13.7109375" customWidth="1"/>
    <col min="11" max="11" width="19.7109375" customWidth="1"/>
  </cols>
  <sheetData>
    <row r="1" spans="1:11" ht="15.75">
      <c r="A1" s="334"/>
      <c r="B1" s="334"/>
      <c r="C1" s="334"/>
      <c r="D1" s="334"/>
      <c r="E1" s="334"/>
      <c r="F1" s="334"/>
      <c r="G1" s="334"/>
      <c r="H1" s="334"/>
      <c r="I1" s="334"/>
      <c r="J1" s="334"/>
      <c r="K1" s="334"/>
    </row>
    <row r="2" spans="1:11" ht="15.75">
      <c r="A2" s="334" t="s">
        <v>348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</row>
    <row r="3" spans="1:11" ht="15.75">
      <c r="A3" s="334" t="s">
        <v>347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</row>
    <row r="4" spans="1:11" ht="15.75">
      <c r="A4" s="334" t="s">
        <v>349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</row>
    <row r="5" spans="1:11" ht="15.75">
      <c r="A5" s="334" t="s">
        <v>350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</row>
    <row r="6" spans="1:11" ht="18.75">
      <c r="A6" s="330" t="s">
        <v>30</v>
      </c>
      <c r="B6" s="330"/>
      <c r="C6" s="330"/>
      <c r="D6" s="330"/>
      <c r="E6" s="330"/>
      <c r="F6" s="330"/>
      <c r="G6" s="330"/>
      <c r="H6" s="330"/>
      <c r="I6" s="330"/>
      <c r="J6" s="330"/>
      <c r="K6" s="330"/>
    </row>
    <row r="7" spans="1:11" ht="18.75">
      <c r="A7" s="330" t="s">
        <v>31</v>
      </c>
      <c r="B7" s="330"/>
      <c r="C7" s="330"/>
      <c r="D7" s="330"/>
      <c r="E7" s="330"/>
      <c r="F7" s="330"/>
      <c r="G7" s="330"/>
      <c r="H7" s="330"/>
      <c r="I7" s="330"/>
      <c r="J7" s="330"/>
      <c r="K7" s="330"/>
    </row>
    <row r="8" spans="1:11" ht="18.75">
      <c r="A8" s="330" t="s">
        <v>32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</row>
    <row r="9" spans="1:11" ht="19.5" thickBot="1">
      <c r="A9" s="4"/>
    </row>
    <row r="10" spans="1:11" ht="87.75" customHeight="1">
      <c r="A10" s="389" t="s">
        <v>54</v>
      </c>
      <c r="B10" s="387" t="s">
        <v>55</v>
      </c>
      <c r="C10" s="387" t="s">
        <v>56</v>
      </c>
      <c r="D10" s="387"/>
      <c r="E10" s="387"/>
      <c r="F10" s="387"/>
      <c r="G10" s="387"/>
      <c r="H10" s="387"/>
      <c r="I10" s="387"/>
      <c r="J10" s="387"/>
      <c r="K10" s="393" t="s">
        <v>33</v>
      </c>
    </row>
    <row r="11" spans="1:11">
      <c r="A11" s="390"/>
      <c r="B11" s="388"/>
      <c r="C11" s="388"/>
      <c r="D11" s="388"/>
      <c r="E11" s="388"/>
      <c r="F11" s="388"/>
      <c r="G11" s="388"/>
      <c r="H11" s="388"/>
      <c r="I11" s="388"/>
      <c r="J11" s="388"/>
      <c r="K11" s="394"/>
    </row>
    <row r="12" spans="1:11">
      <c r="A12" s="390"/>
      <c r="B12" s="388"/>
      <c r="C12" s="388" t="s">
        <v>34</v>
      </c>
      <c r="D12" s="388" t="s">
        <v>3</v>
      </c>
      <c r="E12" s="395" t="s">
        <v>18</v>
      </c>
      <c r="F12" s="388" t="s">
        <v>19</v>
      </c>
      <c r="G12" s="388" t="s">
        <v>20</v>
      </c>
      <c r="H12" s="388" t="s">
        <v>21</v>
      </c>
      <c r="I12" s="388" t="s">
        <v>22</v>
      </c>
      <c r="J12" s="388" t="s">
        <v>23</v>
      </c>
      <c r="K12" s="394"/>
    </row>
    <row r="13" spans="1:11">
      <c r="A13" s="390"/>
      <c r="B13" s="388"/>
      <c r="C13" s="388"/>
      <c r="D13" s="388"/>
      <c r="E13" s="395"/>
      <c r="F13" s="388"/>
      <c r="G13" s="388"/>
      <c r="H13" s="388"/>
      <c r="I13" s="388"/>
      <c r="J13" s="388"/>
      <c r="K13" s="394"/>
    </row>
    <row r="14" spans="1:11">
      <c r="A14" s="192">
        <v>1</v>
      </c>
      <c r="B14" s="6">
        <v>2</v>
      </c>
      <c r="C14" s="6">
        <v>3</v>
      </c>
      <c r="D14" s="6">
        <v>4</v>
      </c>
      <c r="E14" s="155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13">
        <v>11</v>
      </c>
    </row>
    <row r="15" spans="1:11" ht="58.5">
      <c r="A15" s="192">
        <v>1</v>
      </c>
      <c r="B15" s="69" t="s">
        <v>382</v>
      </c>
      <c r="C15" s="145">
        <f t="shared" ref="C15:C25" si="0">SUM(D15:J15)</f>
        <v>146904.5</v>
      </c>
      <c r="D15" s="145">
        <f t="shared" ref="D15:J15" si="1">SUM(D16:D18)</f>
        <v>21448.7</v>
      </c>
      <c r="E15" s="186">
        <f t="shared" si="1"/>
        <v>5714.2</v>
      </c>
      <c r="F15" s="145">
        <f t="shared" si="1"/>
        <v>12928</v>
      </c>
      <c r="G15" s="145">
        <f>SUM(G16:G18)</f>
        <v>22136.2</v>
      </c>
      <c r="H15" s="145">
        <f>SUM(H16:H18)</f>
        <v>31995.4</v>
      </c>
      <c r="I15" s="91">
        <f>SUM(I16:I18)</f>
        <v>5742</v>
      </c>
      <c r="J15" s="91">
        <f t="shared" si="1"/>
        <v>46940</v>
      </c>
      <c r="K15" s="194"/>
    </row>
    <row r="16" spans="1:11" ht="18" customHeight="1">
      <c r="A16" s="192">
        <v>2</v>
      </c>
      <c r="B16" s="67" t="s">
        <v>38</v>
      </c>
      <c r="C16" s="146">
        <f t="shared" si="0"/>
        <v>30651.9</v>
      </c>
      <c r="D16" s="147">
        <f>D20+D24</f>
        <v>99.7</v>
      </c>
      <c r="E16" s="184">
        <f t="shared" ref="E16:J16" si="2">E20+E24</f>
        <v>82.2</v>
      </c>
      <c r="F16" s="147">
        <f t="shared" si="2"/>
        <v>0</v>
      </c>
      <c r="G16" s="147">
        <f t="shared" si="2"/>
        <v>0</v>
      </c>
      <c r="H16" s="147">
        <f t="shared" si="2"/>
        <v>0</v>
      </c>
      <c r="I16" s="147">
        <f t="shared" si="2"/>
        <v>0</v>
      </c>
      <c r="J16" s="147">
        <f t="shared" si="2"/>
        <v>30470</v>
      </c>
      <c r="K16" s="194"/>
    </row>
    <row r="17" spans="1:11" ht="16.5" customHeight="1">
      <c r="A17" s="192">
        <v>3</v>
      </c>
      <c r="B17" s="67" t="s">
        <v>35</v>
      </c>
      <c r="C17" s="146">
        <f t="shared" si="0"/>
        <v>116252.6</v>
      </c>
      <c r="D17" s="147">
        <f>D21+D25</f>
        <v>21349</v>
      </c>
      <c r="E17" s="184">
        <f t="shared" ref="E17:J17" si="3">E21+E25</f>
        <v>5632</v>
      </c>
      <c r="F17" s="147">
        <f t="shared" si="3"/>
        <v>12928</v>
      </c>
      <c r="G17" s="147">
        <f t="shared" si="3"/>
        <v>22136.2</v>
      </c>
      <c r="H17" s="147">
        <f t="shared" si="3"/>
        <v>31995.4</v>
      </c>
      <c r="I17" s="147">
        <f>I21+I25</f>
        <v>5742</v>
      </c>
      <c r="J17" s="147">
        <f t="shared" si="3"/>
        <v>16470</v>
      </c>
      <c r="K17" s="194"/>
    </row>
    <row r="18" spans="1:11" ht="16.5" customHeight="1">
      <c r="A18" s="192">
        <v>4</v>
      </c>
      <c r="B18" s="67" t="s">
        <v>36</v>
      </c>
      <c r="C18" s="146">
        <f t="shared" si="0"/>
        <v>0</v>
      </c>
      <c r="D18" s="147">
        <f t="shared" ref="D18:J18" si="4">D22+D26</f>
        <v>0</v>
      </c>
      <c r="E18" s="184">
        <f t="shared" si="4"/>
        <v>0</v>
      </c>
      <c r="F18" s="147">
        <f t="shared" si="4"/>
        <v>0</v>
      </c>
      <c r="G18" s="147">
        <f t="shared" si="4"/>
        <v>0</v>
      </c>
      <c r="H18" s="147">
        <f t="shared" si="4"/>
        <v>0</v>
      </c>
      <c r="I18" s="147">
        <f t="shared" si="4"/>
        <v>0</v>
      </c>
      <c r="J18" s="147">
        <f t="shared" si="4"/>
        <v>0</v>
      </c>
      <c r="K18" s="194"/>
    </row>
    <row r="19" spans="1:11" ht="20.25" customHeight="1">
      <c r="A19" s="192">
        <v>5</v>
      </c>
      <c r="B19" s="66" t="s">
        <v>37</v>
      </c>
      <c r="C19" s="195">
        <f t="shared" si="0"/>
        <v>117944.9</v>
      </c>
      <c r="D19" s="195">
        <f>D20+D21+D22</f>
        <v>15784</v>
      </c>
      <c r="E19" s="196">
        <f>E20+E21+E22</f>
        <v>1546.6999999999998</v>
      </c>
      <c r="F19" s="195">
        <f>F20+F21+F22</f>
        <v>8598</v>
      </c>
      <c r="G19" s="195">
        <f t="shared" ref="G19:J19" si="5">G20+G21+G22</f>
        <v>15828.2</v>
      </c>
      <c r="H19" s="195">
        <f t="shared" si="5"/>
        <v>26936</v>
      </c>
      <c r="I19" s="195">
        <f t="shared" si="5"/>
        <v>3812</v>
      </c>
      <c r="J19" s="195">
        <f t="shared" si="5"/>
        <v>45440</v>
      </c>
      <c r="K19" s="194"/>
    </row>
    <row r="20" spans="1:11" ht="18" customHeight="1">
      <c r="A20" s="192">
        <v>6</v>
      </c>
      <c r="B20" s="67" t="s">
        <v>38</v>
      </c>
      <c r="C20" s="146">
        <f t="shared" si="0"/>
        <v>30470</v>
      </c>
      <c r="D20" s="147">
        <f>D34+D67</f>
        <v>0</v>
      </c>
      <c r="E20" s="184">
        <f t="shared" ref="E20:J20" si="6">E34+E67</f>
        <v>0</v>
      </c>
      <c r="F20" s="147">
        <f t="shared" si="6"/>
        <v>0</v>
      </c>
      <c r="G20" s="147">
        <f t="shared" si="6"/>
        <v>0</v>
      </c>
      <c r="H20" s="147">
        <f t="shared" si="6"/>
        <v>0</v>
      </c>
      <c r="I20" s="147">
        <f t="shared" si="6"/>
        <v>0</v>
      </c>
      <c r="J20" s="147">
        <f t="shared" si="6"/>
        <v>30470</v>
      </c>
      <c r="K20" s="194"/>
    </row>
    <row r="21" spans="1:11" ht="18" customHeight="1">
      <c r="A21" s="192">
        <v>7</v>
      </c>
      <c r="B21" s="67" t="s">
        <v>35</v>
      </c>
      <c r="C21" s="146">
        <f t="shared" si="0"/>
        <v>87474.9</v>
      </c>
      <c r="D21" s="147">
        <f>SUM(D35,D68)</f>
        <v>15784</v>
      </c>
      <c r="E21" s="184">
        <f t="shared" ref="E21:J21" si="7">SUM(E35,E68)</f>
        <v>1546.6999999999998</v>
      </c>
      <c r="F21" s="147">
        <f>SUM(F35,F68)</f>
        <v>8598</v>
      </c>
      <c r="G21" s="147">
        <f>SUM(G35,G68)</f>
        <v>15828.2</v>
      </c>
      <c r="H21" s="147">
        <f t="shared" si="7"/>
        <v>26936</v>
      </c>
      <c r="I21" s="147">
        <f t="shared" si="7"/>
        <v>3812</v>
      </c>
      <c r="J21" s="147">
        <f t="shared" si="7"/>
        <v>14970</v>
      </c>
      <c r="K21" s="194"/>
    </row>
    <row r="22" spans="1:11" ht="16.5" customHeight="1">
      <c r="A22" s="192">
        <v>8</v>
      </c>
      <c r="B22" s="67" t="s">
        <v>36</v>
      </c>
      <c r="C22" s="146">
        <f t="shared" si="0"/>
        <v>0</v>
      </c>
      <c r="D22" s="147">
        <f t="shared" ref="D22:J22" si="8">D36+D69</f>
        <v>0</v>
      </c>
      <c r="E22" s="184">
        <f t="shared" si="8"/>
        <v>0</v>
      </c>
      <c r="F22" s="147">
        <f t="shared" si="8"/>
        <v>0</v>
      </c>
      <c r="G22" s="147">
        <f t="shared" si="8"/>
        <v>0</v>
      </c>
      <c r="H22" s="147">
        <f t="shared" si="8"/>
        <v>0</v>
      </c>
      <c r="I22" s="147">
        <f t="shared" si="8"/>
        <v>0</v>
      </c>
      <c r="J22" s="147">
        <f t="shared" si="8"/>
        <v>0</v>
      </c>
      <c r="K22" s="194"/>
    </row>
    <row r="23" spans="1:11" ht="18" customHeight="1">
      <c r="A23" s="192">
        <v>9</v>
      </c>
      <c r="B23" s="66" t="s">
        <v>39</v>
      </c>
      <c r="C23" s="267">
        <f t="shared" si="0"/>
        <v>28959.599999999999</v>
      </c>
      <c r="D23" s="195">
        <f>D24+D25</f>
        <v>5664.7</v>
      </c>
      <c r="E23" s="196">
        <f t="shared" ref="E23:I23" si="9">E24+E25</f>
        <v>4167.5</v>
      </c>
      <c r="F23" s="195">
        <f>F24+F25</f>
        <v>4330</v>
      </c>
      <c r="G23" s="195">
        <f t="shared" si="9"/>
        <v>6308</v>
      </c>
      <c r="H23" s="195">
        <f t="shared" si="9"/>
        <v>5059.3999999999996</v>
      </c>
      <c r="I23" s="195">
        <f t="shared" si="9"/>
        <v>1930</v>
      </c>
      <c r="J23" s="195">
        <f>SUM(J25)</f>
        <v>1500</v>
      </c>
      <c r="K23" s="194"/>
    </row>
    <row r="24" spans="1:11" ht="16.5" customHeight="1">
      <c r="A24" s="192">
        <v>10</v>
      </c>
      <c r="B24" s="67" t="s">
        <v>38</v>
      </c>
      <c r="C24" s="146">
        <f t="shared" si="0"/>
        <v>181.9</v>
      </c>
      <c r="D24" s="147">
        <f t="shared" ref="D24:J24" si="10">D52</f>
        <v>99.7</v>
      </c>
      <c r="E24" s="184">
        <f t="shared" si="10"/>
        <v>82.2</v>
      </c>
      <c r="F24" s="147">
        <f t="shared" si="10"/>
        <v>0</v>
      </c>
      <c r="G24" s="147">
        <f t="shared" si="10"/>
        <v>0</v>
      </c>
      <c r="H24" s="147">
        <f t="shared" si="10"/>
        <v>0</v>
      </c>
      <c r="I24" s="147">
        <f t="shared" si="10"/>
        <v>0</v>
      </c>
      <c r="J24" s="147">
        <f t="shared" si="10"/>
        <v>0</v>
      </c>
      <c r="K24" s="194"/>
    </row>
    <row r="25" spans="1:11" ht="18" customHeight="1">
      <c r="A25" s="192">
        <v>11</v>
      </c>
      <c r="B25" s="67" t="s">
        <v>35</v>
      </c>
      <c r="C25" s="146">
        <f t="shared" si="0"/>
        <v>28777.699999999997</v>
      </c>
      <c r="D25" s="147">
        <f t="shared" ref="D25:I25" si="11">D53+D76</f>
        <v>5565</v>
      </c>
      <c r="E25" s="184">
        <f t="shared" si="11"/>
        <v>4085.3</v>
      </c>
      <c r="F25" s="147">
        <f>F53+F76</f>
        <v>4330</v>
      </c>
      <c r="G25" s="147">
        <f t="shared" si="11"/>
        <v>6308</v>
      </c>
      <c r="H25" s="147">
        <f>H53+H76</f>
        <v>5059.3999999999996</v>
      </c>
      <c r="I25" s="147">
        <f t="shared" si="11"/>
        <v>1930</v>
      </c>
      <c r="J25" s="147">
        <f>SUM(J78)</f>
        <v>1500</v>
      </c>
      <c r="K25" s="194"/>
    </row>
    <row r="26" spans="1:11">
      <c r="A26" s="378">
        <v>12</v>
      </c>
      <c r="B26" s="379" t="s">
        <v>40</v>
      </c>
      <c r="C26" s="379"/>
      <c r="D26" s="379"/>
      <c r="E26" s="379"/>
      <c r="F26" s="379"/>
      <c r="G26" s="379"/>
      <c r="H26" s="379"/>
      <c r="I26" s="379"/>
      <c r="J26" s="379"/>
      <c r="K26" s="380"/>
    </row>
    <row r="27" spans="1:11">
      <c r="A27" s="378"/>
      <c r="B27" s="379"/>
      <c r="C27" s="379"/>
      <c r="D27" s="379"/>
      <c r="E27" s="379"/>
      <c r="F27" s="379"/>
      <c r="G27" s="379"/>
      <c r="H27" s="379"/>
      <c r="I27" s="379"/>
      <c r="J27" s="379"/>
      <c r="K27" s="380"/>
    </row>
    <row r="28" spans="1:11" s="133" customFormat="1" ht="30" customHeight="1">
      <c r="A28" s="132">
        <v>13</v>
      </c>
      <c r="B28" s="201" t="s">
        <v>383</v>
      </c>
      <c r="C28" s="195">
        <f>SUM(C29:C31)</f>
        <v>48070.600000000006</v>
      </c>
      <c r="D28" s="195">
        <f>D29+D30+D31</f>
        <v>4164.7</v>
      </c>
      <c r="E28" s="196">
        <f>E29+E30+E31</f>
        <v>892.50000000000011</v>
      </c>
      <c r="F28" s="195">
        <f t="shared" ref="F28:J28" si="12">F29+F30+F31</f>
        <v>2569.4</v>
      </c>
      <c r="G28" s="195">
        <f t="shared" si="12"/>
        <v>3574</v>
      </c>
      <c r="H28" s="195">
        <f t="shared" si="12"/>
        <v>1160</v>
      </c>
      <c r="I28" s="195">
        <f t="shared" si="12"/>
        <v>1130</v>
      </c>
      <c r="J28" s="195">
        <f t="shared" si="12"/>
        <v>34580</v>
      </c>
      <c r="K28" s="194"/>
    </row>
    <row r="29" spans="1:11" s="133" customFormat="1" ht="16.5" customHeight="1">
      <c r="A29" s="132">
        <v>14</v>
      </c>
      <c r="B29" s="67" t="s">
        <v>38</v>
      </c>
      <c r="C29" s="147">
        <f>SUM(C34,C52)</f>
        <v>24281.9</v>
      </c>
      <c r="D29" s="147">
        <f>SUM(D34,D52)</f>
        <v>99.7</v>
      </c>
      <c r="E29" s="184">
        <f>E34+E52</f>
        <v>82.2</v>
      </c>
      <c r="F29" s="147">
        <f>F34+F52</f>
        <v>0</v>
      </c>
      <c r="G29" s="147">
        <f>SUM(G34,G52)</f>
        <v>0</v>
      </c>
      <c r="H29" s="147">
        <f>SUM(H34,H52)</f>
        <v>0</v>
      </c>
      <c r="I29" s="147">
        <f>SUM(I34,I52)</f>
        <v>0</v>
      </c>
      <c r="J29" s="147">
        <f>SUM(J34)</f>
        <v>24100</v>
      </c>
      <c r="K29" s="194"/>
    </row>
    <row r="30" spans="1:11" s="133" customFormat="1" ht="16.5" customHeight="1">
      <c r="A30" s="132">
        <v>15</v>
      </c>
      <c r="B30" s="67" t="s">
        <v>35</v>
      </c>
      <c r="C30" s="147">
        <f>SUM(D30:J30)</f>
        <v>23788.7</v>
      </c>
      <c r="D30" s="147">
        <f>D35+D53</f>
        <v>4065</v>
      </c>
      <c r="E30" s="184">
        <f>E35+E53</f>
        <v>810.30000000000007</v>
      </c>
      <c r="F30" s="147">
        <f>F35+F53</f>
        <v>2569.4</v>
      </c>
      <c r="G30" s="147">
        <f>G35+G53</f>
        <v>3574</v>
      </c>
      <c r="H30" s="147">
        <f>H35+H53</f>
        <v>1160</v>
      </c>
      <c r="I30" s="147">
        <f>I35+I53</f>
        <v>1130</v>
      </c>
      <c r="J30" s="147">
        <f>J35+J53</f>
        <v>10480</v>
      </c>
      <c r="K30" s="194"/>
    </row>
    <row r="31" spans="1:11" s="133" customFormat="1" ht="16.5" customHeight="1">
      <c r="A31" s="132">
        <v>16</v>
      </c>
      <c r="B31" s="67" t="s">
        <v>36</v>
      </c>
      <c r="C31" s="147">
        <f>C36</f>
        <v>0</v>
      </c>
      <c r="D31" s="147">
        <f>D36</f>
        <v>0</v>
      </c>
      <c r="E31" s="184">
        <f t="shared" ref="E31:J31" si="13">E36</f>
        <v>0</v>
      </c>
      <c r="F31" s="147">
        <f t="shared" si="13"/>
        <v>0</v>
      </c>
      <c r="G31" s="147">
        <f t="shared" si="13"/>
        <v>0</v>
      </c>
      <c r="H31" s="147">
        <f t="shared" si="13"/>
        <v>0</v>
      </c>
      <c r="I31" s="147">
        <f t="shared" si="13"/>
        <v>0</v>
      </c>
      <c r="J31" s="147">
        <f t="shared" si="13"/>
        <v>0</v>
      </c>
      <c r="K31" s="194"/>
    </row>
    <row r="32" spans="1:11">
      <c r="A32" s="192">
        <v>17</v>
      </c>
      <c r="B32" s="381" t="s">
        <v>41</v>
      </c>
      <c r="C32" s="381"/>
      <c r="D32" s="381"/>
      <c r="E32" s="381"/>
      <c r="F32" s="381"/>
      <c r="G32" s="381"/>
      <c r="H32" s="381"/>
      <c r="I32" s="381"/>
      <c r="J32" s="381"/>
      <c r="K32" s="194"/>
    </row>
    <row r="33" spans="1:11" s="133" customFormat="1" ht="25.5">
      <c r="A33" s="132">
        <v>18</v>
      </c>
      <c r="B33" s="65" t="s">
        <v>42</v>
      </c>
      <c r="C33" s="191">
        <f>C34+C35+C36</f>
        <v>34580</v>
      </c>
      <c r="D33" s="191">
        <f>D34+D35+D36</f>
        <v>0</v>
      </c>
      <c r="E33" s="193">
        <f t="shared" ref="E33:J33" si="14">E34+E35+E36</f>
        <v>0</v>
      </c>
      <c r="F33" s="191">
        <f t="shared" si="14"/>
        <v>0</v>
      </c>
      <c r="G33" s="191">
        <f t="shared" si="14"/>
        <v>0</v>
      </c>
      <c r="H33" s="191">
        <f t="shared" si="14"/>
        <v>0</v>
      </c>
      <c r="I33" s="191">
        <f t="shared" si="14"/>
        <v>0</v>
      </c>
      <c r="J33" s="191">
        <f t="shared" si="14"/>
        <v>34580</v>
      </c>
      <c r="K33" s="194"/>
    </row>
    <row r="34" spans="1:11" s="133" customFormat="1" ht="15.75" customHeight="1">
      <c r="A34" s="132">
        <v>19</v>
      </c>
      <c r="B34" s="67" t="s">
        <v>38</v>
      </c>
      <c r="C34" s="144">
        <f t="shared" ref="C34:J34" si="15">C40</f>
        <v>24100</v>
      </c>
      <c r="D34" s="144">
        <f>D40</f>
        <v>0</v>
      </c>
      <c r="E34" s="185">
        <f t="shared" si="15"/>
        <v>0</v>
      </c>
      <c r="F34" s="144">
        <f t="shared" si="15"/>
        <v>0</v>
      </c>
      <c r="G34" s="144">
        <f t="shared" si="15"/>
        <v>0</v>
      </c>
      <c r="H34" s="144">
        <f t="shared" si="15"/>
        <v>0</v>
      </c>
      <c r="I34" s="144">
        <f t="shared" si="15"/>
        <v>0</v>
      </c>
      <c r="J34" s="144">
        <f t="shared" si="15"/>
        <v>24100</v>
      </c>
      <c r="K34" s="194"/>
    </row>
    <row r="35" spans="1:11" s="133" customFormat="1" ht="15.75" customHeight="1">
      <c r="A35" s="132">
        <v>20</v>
      </c>
      <c r="B35" s="67" t="s">
        <v>35</v>
      </c>
      <c r="C35" s="144">
        <f>C41</f>
        <v>10480</v>
      </c>
      <c r="D35" s="144">
        <f>D41</f>
        <v>0</v>
      </c>
      <c r="E35" s="185">
        <v>0</v>
      </c>
      <c r="F35" s="144">
        <v>0</v>
      </c>
      <c r="G35" s="144">
        <f>G41</f>
        <v>0</v>
      </c>
      <c r="H35" s="144">
        <f>H41</f>
        <v>0</v>
      </c>
      <c r="I35" s="144">
        <f>I41</f>
        <v>0</v>
      </c>
      <c r="J35" s="144">
        <f>J41</f>
        <v>10480</v>
      </c>
      <c r="K35" s="194"/>
    </row>
    <row r="36" spans="1:11" s="133" customFormat="1" ht="18.75" customHeight="1">
      <c r="A36" s="132">
        <v>21</v>
      </c>
      <c r="B36" s="67" t="s">
        <v>36</v>
      </c>
      <c r="C36" s="144">
        <f t="shared" ref="C36:J36" si="16">C46</f>
        <v>0</v>
      </c>
      <c r="D36" s="144">
        <f>D46</f>
        <v>0</v>
      </c>
      <c r="E36" s="185">
        <f t="shared" si="16"/>
        <v>0</v>
      </c>
      <c r="F36" s="144">
        <f t="shared" si="16"/>
        <v>0</v>
      </c>
      <c r="G36" s="144">
        <f t="shared" si="16"/>
        <v>0</v>
      </c>
      <c r="H36" s="144">
        <f t="shared" si="16"/>
        <v>0</v>
      </c>
      <c r="I36" s="144">
        <f t="shared" si="16"/>
        <v>0</v>
      </c>
      <c r="J36" s="144">
        <f t="shared" si="16"/>
        <v>0</v>
      </c>
      <c r="K36" s="194"/>
    </row>
    <row r="37" spans="1:11">
      <c r="A37" s="192">
        <v>22</v>
      </c>
      <c r="B37" s="381" t="s">
        <v>43</v>
      </c>
      <c r="C37" s="381"/>
      <c r="D37" s="381"/>
      <c r="E37" s="381"/>
      <c r="F37" s="381"/>
      <c r="G37" s="381"/>
      <c r="H37" s="381"/>
      <c r="I37" s="381"/>
      <c r="J37" s="381"/>
      <c r="K37" s="194"/>
    </row>
    <row r="38" spans="1:11" s="116" customFormat="1" ht="38.25" customHeight="1">
      <c r="A38" s="378">
        <v>23</v>
      </c>
      <c r="B38" s="383" t="s">
        <v>384</v>
      </c>
      <c r="C38" s="377">
        <f>C40+C41</f>
        <v>34580</v>
      </c>
      <c r="D38" s="377">
        <f>D40+D41</f>
        <v>0</v>
      </c>
      <c r="E38" s="382">
        <f t="shared" ref="E38:J38" si="17">E40+E41</f>
        <v>0</v>
      </c>
      <c r="F38" s="377">
        <f t="shared" si="17"/>
        <v>0</v>
      </c>
      <c r="G38" s="377">
        <f t="shared" si="17"/>
        <v>0</v>
      </c>
      <c r="H38" s="377">
        <f t="shared" si="17"/>
        <v>0</v>
      </c>
      <c r="I38" s="377">
        <f t="shared" si="17"/>
        <v>0</v>
      </c>
      <c r="J38" s="377">
        <f t="shared" si="17"/>
        <v>34580</v>
      </c>
      <c r="K38" s="384"/>
    </row>
    <row r="39" spans="1:11" s="116" customFormat="1" ht="6" customHeight="1">
      <c r="A39" s="378"/>
      <c r="B39" s="383"/>
      <c r="C39" s="377"/>
      <c r="D39" s="377"/>
      <c r="E39" s="382"/>
      <c r="F39" s="377"/>
      <c r="G39" s="377"/>
      <c r="H39" s="377"/>
      <c r="I39" s="377"/>
      <c r="J39" s="377"/>
      <c r="K39" s="384"/>
    </row>
    <row r="40" spans="1:11" ht="16.5" customHeight="1">
      <c r="A40" s="192">
        <v>24</v>
      </c>
      <c r="B40" s="67" t="s">
        <v>38</v>
      </c>
      <c r="C40" s="144">
        <f t="shared" ref="C40:J41" si="18">C43</f>
        <v>24100</v>
      </c>
      <c r="D40" s="144">
        <f t="shared" si="18"/>
        <v>0</v>
      </c>
      <c r="E40" s="185">
        <f t="shared" si="18"/>
        <v>0</v>
      </c>
      <c r="F40" s="144">
        <f t="shared" si="18"/>
        <v>0</v>
      </c>
      <c r="G40" s="144">
        <f t="shared" si="18"/>
        <v>0</v>
      </c>
      <c r="H40" s="144">
        <f t="shared" si="18"/>
        <v>0</v>
      </c>
      <c r="I40" s="144">
        <f>I43</f>
        <v>0</v>
      </c>
      <c r="J40" s="144">
        <f t="shared" si="18"/>
        <v>24100</v>
      </c>
      <c r="K40" s="194"/>
    </row>
    <row r="41" spans="1:11" ht="18.75" customHeight="1">
      <c r="A41" s="192">
        <v>25</v>
      </c>
      <c r="B41" s="67" t="s">
        <v>35</v>
      </c>
      <c r="C41" s="144">
        <f>C44</f>
        <v>10480</v>
      </c>
      <c r="D41" s="144">
        <f>D44</f>
        <v>0</v>
      </c>
      <c r="E41" s="185">
        <f t="shared" si="18"/>
        <v>0</v>
      </c>
      <c r="F41" s="144">
        <f t="shared" si="18"/>
        <v>0</v>
      </c>
      <c r="G41" s="144">
        <f t="shared" si="18"/>
        <v>0</v>
      </c>
      <c r="H41" s="144">
        <f t="shared" si="18"/>
        <v>0</v>
      </c>
      <c r="I41" s="144">
        <f t="shared" si="18"/>
        <v>0</v>
      </c>
      <c r="J41" s="144">
        <f t="shared" si="18"/>
        <v>10480</v>
      </c>
      <c r="K41" s="194"/>
    </row>
    <row r="42" spans="1:11" ht="25.5">
      <c r="A42" s="192">
        <v>26</v>
      </c>
      <c r="B42" s="65" t="s">
        <v>44</v>
      </c>
      <c r="C42" s="191">
        <f>C43+C44</f>
        <v>34580</v>
      </c>
      <c r="D42" s="191">
        <f>D43+D44</f>
        <v>0</v>
      </c>
      <c r="E42" s="193">
        <f t="shared" ref="E42:J42" si="19">E43+E44</f>
        <v>0</v>
      </c>
      <c r="F42" s="191">
        <f t="shared" si="19"/>
        <v>0</v>
      </c>
      <c r="G42" s="191">
        <f t="shared" si="19"/>
        <v>0</v>
      </c>
      <c r="H42" s="191">
        <f t="shared" si="19"/>
        <v>0</v>
      </c>
      <c r="I42" s="191">
        <f t="shared" si="19"/>
        <v>0</v>
      </c>
      <c r="J42" s="191">
        <f t="shared" si="19"/>
        <v>34580</v>
      </c>
      <c r="K42" s="194" t="s">
        <v>206</v>
      </c>
    </row>
    <row r="43" spans="1:11" ht="18.75" customHeight="1">
      <c r="A43" s="192">
        <v>27</v>
      </c>
      <c r="B43" s="67" t="s">
        <v>38</v>
      </c>
      <c r="C43" s="144">
        <f>SUM(D43:J43)</f>
        <v>24100</v>
      </c>
      <c r="D43" s="144">
        <v>0</v>
      </c>
      <c r="E43" s="185">
        <v>0</v>
      </c>
      <c r="F43" s="144">
        <v>0</v>
      </c>
      <c r="G43" s="144">
        <v>0</v>
      </c>
      <c r="H43" s="144">
        <f>'ПРИЛОЖЕНИЕ №3'!N48+'ПРИЛОЖЕНИЕ №3'!N47</f>
        <v>0</v>
      </c>
      <c r="I43" s="144">
        <f>'ПРИЛОЖЕНИЕ №3'!O48+'ПРИЛОЖЕНИЕ №3'!O47</f>
        <v>0</v>
      </c>
      <c r="J43" s="144">
        <v>24100</v>
      </c>
      <c r="K43" s="194"/>
    </row>
    <row r="44" spans="1:11" ht="16.5" customHeight="1">
      <c r="A44" s="192">
        <v>28</v>
      </c>
      <c r="B44" s="67" t="s">
        <v>35</v>
      </c>
      <c r="C44" s="144">
        <f>SUM(D44:J44)</f>
        <v>10480</v>
      </c>
      <c r="D44" s="144">
        <v>0</v>
      </c>
      <c r="E44" s="185">
        <v>0</v>
      </c>
      <c r="F44" s="144">
        <v>0</v>
      </c>
      <c r="G44" s="144">
        <f>'ПРИЛОЖЕНИЕ №3'!M49+'ПРИЛОЖЕНИЕ №3'!M48</f>
        <v>0</v>
      </c>
      <c r="H44" s="144">
        <f>'ПРИЛОЖЕНИЕ №3'!N49+'ПРИЛОЖЕНИЕ №3'!N48</f>
        <v>0</v>
      </c>
      <c r="I44" s="144">
        <f>'ПРИЛОЖЕНИЕ №3'!O49+'ПРИЛОЖЕНИЕ №3'!O48</f>
        <v>0</v>
      </c>
      <c r="J44" s="144">
        <v>10480</v>
      </c>
      <c r="K44" s="194" t="s">
        <v>206</v>
      </c>
    </row>
    <row r="45" spans="1:11">
      <c r="A45" s="192">
        <v>29</v>
      </c>
      <c r="B45" s="381" t="s">
        <v>45</v>
      </c>
      <c r="C45" s="381"/>
      <c r="D45" s="381"/>
      <c r="E45" s="381"/>
      <c r="F45" s="381"/>
      <c r="G45" s="381"/>
      <c r="H45" s="381"/>
      <c r="I45" s="381"/>
      <c r="J45" s="381"/>
      <c r="K45" s="194"/>
    </row>
    <row r="46" spans="1:11" ht="38.25">
      <c r="A46" s="192">
        <v>30</v>
      </c>
      <c r="B46" s="65" t="s">
        <v>46</v>
      </c>
      <c r="C46" s="191">
        <f t="shared" ref="C46:J46" si="20">C47</f>
        <v>0</v>
      </c>
      <c r="D46" s="191">
        <f t="shared" si="20"/>
        <v>0</v>
      </c>
      <c r="E46" s="193">
        <f t="shared" si="20"/>
        <v>0</v>
      </c>
      <c r="F46" s="191">
        <f t="shared" si="20"/>
        <v>0</v>
      </c>
      <c r="G46" s="191">
        <f t="shared" si="20"/>
        <v>0</v>
      </c>
      <c r="H46" s="191">
        <f t="shared" si="20"/>
        <v>0</v>
      </c>
      <c r="I46" s="191">
        <f t="shared" si="20"/>
        <v>0</v>
      </c>
      <c r="J46" s="191">
        <f t="shared" si="20"/>
        <v>0</v>
      </c>
      <c r="K46" s="194"/>
    </row>
    <row r="47" spans="1:11" ht="19.5" customHeight="1">
      <c r="A47" s="192">
        <v>31</v>
      </c>
      <c r="B47" s="67" t="s">
        <v>36</v>
      </c>
      <c r="C47" s="144">
        <v>0</v>
      </c>
      <c r="D47" s="144">
        <v>0</v>
      </c>
      <c r="E47" s="185">
        <v>0</v>
      </c>
      <c r="F47" s="144">
        <v>0</v>
      </c>
      <c r="G47" s="144">
        <v>0</v>
      </c>
      <c r="H47" s="144">
        <v>0</v>
      </c>
      <c r="I47" s="144">
        <v>0</v>
      </c>
      <c r="J47" s="144">
        <v>0</v>
      </c>
      <c r="K47" s="194"/>
    </row>
    <row r="48" spans="1:11">
      <c r="A48" s="192">
        <v>32</v>
      </c>
      <c r="B48" s="381" t="s">
        <v>47</v>
      </c>
      <c r="C48" s="381"/>
      <c r="D48" s="381"/>
      <c r="E48" s="381"/>
      <c r="F48" s="381"/>
      <c r="G48" s="381"/>
      <c r="H48" s="381"/>
      <c r="I48" s="381"/>
      <c r="J48" s="381"/>
      <c r="K48" s="194"/>
    </row>
    <row r="49" spans="1:11">
      <c r="A49" s="378">
        <v>33</v>
      </c>
      <c r="B49" s="391" t="s">
        <v>385</v>
      </c>
      <c r="C49" s="385">
        <f>SUM(D49:J51)</f>
        <v>13490.6</v>
      </c>
      <c r="D49" s="385">
        <f>D52+D53</f>
        <v>4164.7</v>
      </c>
      <c r="E49" s="386">
        <f t="shared" ref="E49:J49" si="21">E52+E53</f>
        <v>892.50000000000011</v>
      </c>
      <c r="F49" s="385">
        <f t="shared" si="21"/>
        <v>2569.4</v>
      </c>
      <c r="G49" s="385">
        <f t="shared" si="21"/>
        <v>3574</v>
      </c>
      <c r="H49" s="385">
        <f t="shared" si="21"/>
        <v>1160</v>
      </c>
      <c r="I49" s="385">
        <f t="shared" si="21"/>
        <v>1130</v>
      </c>
      <c r="J49" s="385">
        <f t="shared" si="21"/>
        <v>0</v>
      </c>
      <c r="K49" s="384"/>
    </row>
    <row r="50" spans="1:11">
      <c r="A50" s="378"/>
      <c r="B50" s="391"/>
      <c r="C50" s="385"/>
      <c r="D50" s="385"/>
      <c r="E50" s="386"/>
      <c r="F50" s="385"/>
      <c r="G50" s="385"/>
      <c r="H50" s="385"/>
      <c r="I50" s="385"/>
      <c r="J50" s="385"/>
      <c r="K50" s="384"/>
    </row>
    <row r="51" spans="1:11" ht="21" customHeight="1">
      <c r="A51" s="378"/>
      <c r="B51" s="391"/>
      <c r="C51" s="385"/>
      <c r="D51" s="385"/>
      <c r="E51" s="386"/>
      <c r="F51" s="385"/>
      <c r="G51" s="385"/>
      <c r="H51" s="385"/>
      <c r="I51" s="385"/>
      <c r="J51" s="385"/>
      <c r="K51" s="384"/>
    </row>
    <row r="52" spans="1:11" ht="18" customHeight="1">
      <c r="A52" s="192">
        <v>34</v>
      </c>
      <c r="B52" s="67" t="s">
        <v>38</v>
      </c>
      <c r="C52" s="147">
        <f>SUM(D52:J52)</f>
        <v>181.9</v>
      </c>
      <c r="D52" s="147">
        <f t="shared" ref="D52:J52" si="22">D56</f>
        <v>99.7</v>
      </c>
      <c r="E52" s="184">
        <f t="shared" si="22"/>
        <v>82.2</v>
      </c>
      <c r="F52" s="147">
        <f t="shared" si="22"/>
        <v>0</v>
      </c>
      <c r="G52" s="147">
        <f t="shared" si="22"/>
        <v>0</v>
      </c>
      <c r="H52" s="147">
        <f t="shared" si="22"/>
        <v>0</v>
      </c>
      <c r="I52" s="147">
        <f t="shared" si="22"/>
        <v>0</v>
      </c>
      <c r="J52" s="147">
        <f t="shared" si="22"/>
        <v>0</v>
      </c>
      <c r="K52" s="194"/>
    </row>
    <row r="53" spans="1:11" ht="18" customHeight="1">
      <c r="A53" s="192">
        <v>35</v>
      </c>
      <c r="B53" s="67" t="s">
        <v>35</v>
      </c>
      <c r="C53" s="147">
        <f>SUM(D53:J53)</f>
        <v>13308.7</v>
      </c>
      <c r="D53" s="147">
        <f>D57+D59</f>
        <v>4065</v>
      </c>
      <c r="E53" s="147">
        <f>E57+E59</f>
        <v>810.30000000000007</v>
      </c>
      <c r="F53" s="147">
        <f t="shared" ref="F53:J53" si="23">F57+F59</f>
        <v>2569.4</v>
      </c>
      <c r="G53" s="147">
        <f t="shared" si="23"/>
        <v>3574</v>
      </c>
      <c r="H53" s="147">
        <f t="shared" si="23"/>
        <v>1160</v>
      </c>
      <c r="I53" s="147">
        <f t="shared" si="23"/>
        <v>1130</v>
      </c>
      <c r="J53" s="147">
        <f t="shared" si="23"/>
        <v>0</v>
      </c>
      <c r="K53" s="194"/>
    </row>
    <row r="54" spans="1:11" ht="25.5" customHeight="1">
      <c r="A54" s="378">
        <v>36</v>
      </c>
      <c r="B54" s="383" t="s">
        <v>386</v>
      </c>
      <c r="C54" s="385">
        <f>SUM(D54:J55)</f>
        <v>13190.6</v>
      </c>
      <c r="D54" s="385">
        <f>D56+D57</f>
        <v>3864.7</v>
      </c>
      <c r="E54" s="386">
        <f t="shared" ref="E54:J54" si="24">E56+E57</f>
        <v>892.50000000000011</v>
      </c>
      <c r="F54" s="385">
        <f t="shared" si="24"/>
        <v>2569.4</v>
      </c>
      <c r="G54" s="385">
        <f>G56+G57</f>
        <v>3574</v>
      </c>
      <c r="H54" s="385">
        <f t="shared" si="24"/>
        <v>1160</v>
      </c>
      <c r="I54" s="385">
        <f t="shared" si="24"/>
        <v>1130</v>
      </c>
      <c r="J54" s="385">
        <f t="shared" si="24"/>
        <v>0</v>
      </c>
      <c r="K54" s="384" t="s">
        <v>205</v>
      </c>
    </row>
    <row r="55" spans="1:11" ht="15" customHeight="1">
      <c r="A55" s="378"/>
      <c r="B55" s="383"/>
      <c r="C55" s="385"/>
      <c r="D55" s="385"/>
      <c r="E55" s="386"/>
      <c r="F55" s="385"/>
      <c r="G55" s="385"/>
      <c r="H55" s="385"/>
      <c r="I55" s="385"/>
      <c r="J55" s="385"/>
      <c r="K55" s="384"/>
    </row>
    <row r="56" spans="1:11" ht="18" customHeight="1">
      <c r="A56" s="192">
        <v>37</v>
      </c>
      <c r="B56" s="67" t="s">
        <v>38</v>
      </c>
      <c r="C56" s="147">
        <f>SUM(D56:J56)</f>
        <v>181.9</v>
      </c>
      <c r="D56" s="147">
        <v>99.7</v>
      </c>
      <c r="E56" s="184">
        <v>82.2</v>
      </c>
      <c r="F56" s="147">
        <v>0</v>
      </c>
      <c r="G56" s="147">
        <v>0</v>
      </c>
      <c r="H56" s="147">
        <v>0</v>
      </c>
      <c r="I56" s="147">
        <v>0</v>
      </c>
      <c r="J56" s="147">
        <v>0</v>
      </c>
      <c r="K56" s="384" t="s">
        <v>205</v>
      </c>
    </row>
    <row r="57" spans="1:11" ht="19.5" customHeight="1">
      <c r="A57" s="192">
        <v>38</v>
      </c>
      <c r="B57" s="67" t="s">
        <v>35</v>
      </c>
      <c r="C57" s="147">
        <f>SUM(D57:J57)</f>
        <v>13008.7</v>
      </c>
      <c r="D57" s="147">
        <f>1613+1952+200</f>
        <v>3765</v>
      </c>
      <c r="E57" s="184">
        <f>'ПРИЛОЖЕНИЕ №4'!F16</f>
        <v>810.30000000000007</v>
      </c>
      <c r="F57" s="147">
        <f>'ПРИЛОЖЕНИЕ №4'!G16</f>
        <v>2569.4</v>
      </c>
      <c r="G57" s="147">
        <f>'ПРИЛОЖЕНИЕ №4'!H16</f>
        <v>3574</v>
      </c>
      <c r="H57" s="147">
        <f>'ПРИЛОЖЕНИЕ №4'!I16</f>
        <v>1160</v>
      </c>
      <c r="I57" s="147">
        <f>'ПРИЛОЖЕНИЕ №4'!J16</f>
        <v>1130</v>
      </c>
      <c r="J57" s="147">
        <v>0</v>
      </c>
      <c r="K57" s="384"/>
    </row>
    <row r="58" spans="1:11" ht="43.5" customHeight="1">
      <c r="A58" s="192">
        <v>39</v>
      </c>
      <c r="B58" s="65" t="s">
        <v>48</v>
      </c>
      <c r="C58" s="195">
        <f>C59</f>
        <v>300</v>
      </c>
      <c r="D58" s="195">
        <f>D59</f>
        <v>300</v>
      </c>
      <c r="E58" s="196">
        <f t="shared" ref="E58:J58" si="25">E59</f>
        <v>0</v>
      </c>
      <c r="F58" s="195">
        <f t="shared" si="25"/>
        <v>0</v>
      </c>
      <c r="G58" s="296">
        <f t="shared" si="25"/>
        <v>0</v>
      </c>
      <c r="H58" s="195">
        <f t="shared" si="25"/>
        <v>0</v>
      </c>
      <c r="I58" s="195">
        <f t="shared" si="25"/>
        <v>0</v>
      </c>
      <c r="J58" s="195">
        <f t="shared" si="25"/>
        <v>0</v>
      </c>
      <c r="K58" s="194"/>
    </row>
    <row r="59" spans="1:11" ht="18" customHeight="1">
      <c r="A59" s="192">
        <v>40</v>
      </c>
      <c r="B59" s="67" t="s">
        <v>35</v>
      </c>
      <c r="C59" s="147">
        <f>SUM(D59:J59)</f>
        <v>300</v>
      </c>
      <c r="D59" s="147">
        <f>200+100</f>
        <v>300</v>
      </c>
      <c r="E59" s="184">
        <v>0</v>
      </c>
      <c r="F59" s="147">
        <f>'ПРИЛОЖЕНИЕ №4'!G53</f>
        <v>0</v>
      </c>
      <c r="G59" s="147">
        <f>'ПРИЛОЖЕНИЕ №4'!H53</f>
        <v>0</v>
      </c>
      <c r="H59" s="147">
        <f>'ПРИЛОЖЕНИЕ №4'!I53</f>
        <v>0</v>
      </c>
      <c r="I59" s="147">
        <f>'ПРИЛОЖЕНИЕ №4'!J53</f>
        <v>0</v>
      </c>
      <c r="J59" s="147">
        <v>0</v>
      </c>
      <c r="K59" s="194"/>
    </row>
    <row r="60" spans="1:11" ht="15.75">
      <c r="A60" s="192">
        <v>41</v>
      </c>
      <c r="B60" s="379" t="s">
        <v>49</v>
      </c>
      <c r="C60" s="379"/>
      <c r="D60" s="379"/>
      <c r="E60" s="379"/>
      <c r="F60" s="379"/>
      <c r="G60" s="379"/>
      <c r="H60" s="379"/>
      <c r="I60" s="379"/>
      <c r="J60" s="379"/>
      <c r="K60" s="380"/>
    </row>
    <row r="61" spans="1:11" s="133" customFormat="1" ht="30" customHeight="1">
      <c r="A61" s="132">
        <v>42</v>
      </c>
      <c r="B61" s="66" t="s">
        <v>387</v>
      </c>
      <c r="C61" s="145">
        <f>C62+C63+C64</f>
        <v>98833.9</v>
      </c>
      <c r="D61" s="145">
        <f t="shared" ref="D61:I61" si="26">D62+D63+D64</f>
        <v>17284</v>
      </c>
      <c r="E61" s="186">
        <f>E62+E63+E64</f>
        <v>4821.7</v>
      </c>
      <c r="F61" s="145">
        <f t="shared" si="26"/>
        <v>10358.6</v>
      </c>
      <c r="G61" s="145">
        <f t="shared" si="26"/>
        <v>18562.2</v>
      </c>
      <c r="H61" s="145">
        <f t="shared" si="26"/>
        <v>30835.4</v>
      </c>
      <c r="I61" s="145">
        <f t="shared" si="26"/>
        <v>4612</v>
      </c>
      <c r="J61" s="145">
        <f>SUM(J62:J63)</f>
        <v>12360</v>
      </c>
      <c r="K61" s="194"/>
    </row>
    <row r="62" spans="1:11" s="133" customFormat="1" ht="18" customHeight="1">
      <c r="A62" s="132">
        <v>43</v>
      </c>
      <c r="B62" s="67" t="s">
        <v>38</v>
      </c>
      <c r="C62" s="144">
        <f t="shared" ref="C62:J62" si="27">C67</f>
        <v>6370</v>
      </c>
      <c r="D62" s="144">
        <f t="shared" si="27"/>
        <v>0</v>
      </c>
      <c r="E62" s="185">
        <f t="shared" si="27"/>
        <v>0</v>
      </c>
      <c r="F62" s="144">
        <f t="shared" si="27"/>
        <v>0</v>
      </c>
      <c r="G62" s="144">
        <f t="shared" si="27"/>
        <v>0</v>
      </c>
      <c r="H62" s="144">
        <f t="shared" si="27"/>
        <v>0</v>
      </c>
      <c r="I62" s="144">
        <f t="shared" si="27"/>
        <v>0</v>
      </c>
      <c r="J62" s="144">
        <f t="shared" si="27"/>
        <v>6370</v>
      </c>
      <c r="K62" s="194"/>
    </row>
    <row r="63" spans="1:11" s="133" customFormat="1" ht="18.75" customHeight="1">
      <c r="A63" s="132">
        <v>44</v>
      </c>
      <c r="B63" s="67" t="s">
        <v>35</v>
      </c>
      <c r="C63" s="144">
        <f>C68+C76</f>
        <v>92463.9</v>
      </c>
      <c r="D63" s="144">
        <f t="shared" ref="D63:I63" si="28">D68+D76</f>
        <v>17284</v>
      </c>
      <c r="E63" s="185">
        <f>E68+E76</f>
        <v>4821.7</v>
      </c>
      <c r="F63" s="144">
        <f t="shared" si="28"/>
        <v>10358.6</v>
      </c>
      <c r="G63" s="144">
        <f t="shared" si="28"/>
        <v>18562.2</v>
      </c>
      <c r="H63" s="144">
        <f t="shared" si="28"/>
        <v>30835.4</v>
      </c>
      <c r="I63" s="144">
        <f t="shared" si="28"/>
        <v>4612</v>
      </c>
      <c r="J63" s="144">
        <f>SUM(J68)+J76</f>
        <v>5990</v>
      </c>
      <c r="K63" s="194"/>
    </row>
    <row r="64" spans="1:11" s="133" customFormat="1" ht="18" customHeight="1">
      <c r="A64" s="132">
        <v>45</v>
      </c>
      <c r="B64" s="67" t="s">
        <v>36</v>
      </c>
      <c r="C64" s="144">
        <f t="shared" ref="C64:J64" si="29">C69</f>
        <v>0</v>
      </c>
      <c r="D64" s="144">
        <f>D69</f>
        <v>0</v>
      </c>
      <c r="E64" s="185">
        <f t="shared" si="29"/>
        <v>0</v>
      </c>
      <c r="F64" s="144">
        <f t="shared" si="29"/>
        <v>0</v>
      </c>
      <c r="G64" s="144">
        <f t="shared" si="29"/>
        <v>0</v>
      </c>
      <c r="H64" s="144">
        <f t="shared" si="29"/>
        <v>0</v>
      </c>
      <c r="I64" s="144">
        <f t="shared" si="29"/>
        <v>0</v>
      </c>
      <c r="J64" s="144">
        <f t="shared" si="29"/>
        <v>0</v>
      </c>
      <c r="K64" s="194"/>
    </row>
    <row r="65" spans="1:11">
      <c r="A65" s="198">
        <v>46</v>
      </c>
      <c r="B65" s="392" t="s">
        <v>50</v>
      </c>
      <c r="C65" s="392"/>
      <c r="D65" s="392"/>
      <c r="E65" s="392"/>
      <c r="F65" s="392"/>
      <c r="G65" s="392"/>
      <c r="H65" s="392"/>
      <c r="I65" s="392"/>
      <c r="J65" s="392"/>
      <c r="K65" s="194"/>
    </row>
    <row r="66" spans="1:11" s="133" customFormat="1" ht="25.5">
      <c r="A66" s="132">
        <v>47</v>
      </c>
      <c r="B66" s="65" t="s">
        <v>51</v>
      </c>
      <c r="C66" s="145">
        <f>C67+C68+C69</f>
        <v>83364.899999999994</v>
      </c>
      <c r="D66" s="145">
        <f>D67+D68+D69</f>
        <v>15784</v>
      </c>
      <c r="E66" s="186">
        <f t="shared" ref="E66:J66" si="30">E67+E68+E69</f>
        <v>1546.6999999999998</v>
      </c>
      <c r="F66" s="145">
        <f t="shared" si="30"/>
        <v>8598</v>
      </c>
      <c r="G66" s="145">
        <f t="shared" si="30"/>
        <v>15828.2</v>
      </c>
      <c r="H66" s="145">
        <f t="shared" si="30"/>
        <v>26936</v>
      </c>
      <c r="I66" s="145">
        <f t="shared" si="30"/>
        <v>3812</v>
      </c>
      <c r="J66" s="145">
        <f t="shared" si="30"/>
        <v>10860</v>
      </c>
      <c r="K66" s="194"/>
    </row>
    <row r="67" spans="1:11" s="133" customFormat="1" ht="18" customHeight="1">
      <c r="A67" s="132">
        <v>48</v>
      </c>
      <c r="B67" s="67" t="s">
        <v>38</v>
      </c>
      <c r="C67" s="144">
        <f t="shared" ref="C67:J67" si="31">C72</f>
        <v>6370</v>
      </c>
      <c r="D67" s="144">
        <f t="shared" si="31"/>
        <v>0</v>
      </c>
      <c r="E67" s="185">
        <f t="shared" si="31"/>
        <v>0</v>
      </c>
      <c r="F67" s="144">
        <f t="shared" si="31"/>
        <v>0</v>
      </c>
      <c r="G67" s="144">
        <f t="shared" si="31"/>
        <v>0</v>
      </c>
      <c r="H67" s="144">
        <f t="shared" si="31"/>
        <v>0</v>
      </c>
      <c r="I67" s="144">
        <f t="shared" si="31"/>
        <v>0</v>
      </c>
      <c r="J67" s="144">
        <f t="shared" si="31"/>
        <v>6370</v>
      </c>
      <c r="K67" s="194"/>
    </row>
    <row r="68" spans="1:11" s="133" customFormat="1" ht="16.5" customHeight="1">
      <c r="A68" s="132">
        <v>49</v>
      </c>
      <c r="B68" s="67" t="s">
        <v>35</v>
      </c>
      <c r="C68" s="144">
        <f>C73</f>
        <v>76994.899999999994</v>
      </c>
      <c r="D68" s="144">
        <f>D73</f>
        <v>15784</v>
      </c>
      <c r="E68" s="185">
        <f t="shared" ref="C68:I69" si="32">E73</f>
        <v>1546.6999999999998</v>
      </c>
      <c r="F68" s="144">
        <f t="shared" si="32"/>
        <v>8598</v>
      </c>
      <c r="G68" s="144">
        <f t="shared" si="32"/>
        <v>15828.2</v>
      </c>
      <c r="H68" s="144">
        <f t="shared" si="32"/>
        <v>26936</v>
      </c>
      <c r="I68" s="144">
        <f t="shared" si="32"/>
        <v>3812</v>
      </c>
      <c r="J68" s="144">
        <f>SUM(J73)</f>
        <v>4490</v>
      </c>
      <c r="K68" s="194"/>
    </row>
    <row r="69" spans="1:11" s="133" customFormat="1" ht="15.75" customHeight="1">
      <c r="A69" s="132">
        <v>50</v>
      </c>
      <c r="B69" s="67" t="s">
        <v>36</v>
      </c>
      <c r="C69" s="144">
        <f t="shared" si="32"/>
        <v>0</v>
      </c>
      <c r="D69" s="144">
        <f t="shared" si="32"/>
        <v>0</v>
      </c>
      <c r="E69" s="185">
        <f t="shared" si="32"/>
        <v>0</v>
      </c>
      <c r="F69" s="144">
        <f t="shared" si="32"/>
        <v>0</v>
      </c>
      <c r="G69" s="144">
        <f t="shared" si="32"/>
        <v>0</v>
      </c>
      <c r="H69" s="144">
        <f t="shared" si="32"/>
        <v>0</v>
      </c>
      <c r="I69" s="144">
        <f t="shared" si="32"/>
        <v>0</v>
      </c>
      <c r="J69" s="144">
        <f>J74</f>
        <v>0</v>
      </c>
      <c r="K69" s="194"/>
    </row>
    <row r="70" spans="1:11">
      <c r="A70" s="192">
        <v>51</v>
      </c>
      <c r="B70" s="381" t="s">
        <v>43</v>
      </c>
      <c r="C70" s="381"/>
      <c r="D70" s="381"/>
      <c r="E70" s="381"/>
      <c r="F70" s="381"/>
      <c r="G70" s="381"/>
      <c r="H70" s="381"/>
      <c r="I70" s="381"/>
      <c r="J70" s="381"/>
      <c r="K70" s="194"/>
    </row>
    <row r="71" spans="1:11" ht="38.25">
      <c r="A71" s="192">
        <v>52</v>
      </c>
      <c r="B71" s="65" t="s">
        <v>57</v>
      </c>
      <c r="C71" s="145">
        <f>C72+C73</f>
        <v>83364.899999999994</v>
      </c>
      <c r="D71" s="145">
        <f>D72+D73</f>
        <v>15784</v>
      </c>
      <c r="E71" s="186">
        <f t="shared" ref="E71:J71" si="33">E72+E73</f>
        <v>1546.6999999999998</v>
      </c>
      <c r="F71" s="145">
        <f t="shared" si="33"/>
        <v>8598</v>
      </c>
      <c r="G71" s="145">
        <f t="shared" si="33"/>
        <v>15828.2</v>
      </c>
      <c r="H71" s="145">
        <f t="shared" si="33"/>
        <v>26936</v>
      </c>
      <c r="I71" s="145">
        <f t="shared" si="33"/>
        <v>3812</v>
      </c>
      <c r="J71" s="145">
        <f t="shared" si="33"/>
        <v>10860</v>
      </c>
      <c r="K71" s="288" t="s">
        <v>390</v>
      </c>
    </row>
    <row r="72" spans="1:11" ht="18.75" customHeight="1">
      <c r="A72" s="192">
        <v>53</v>
      </c>
      <c r="B72" s="67" t="s">
        <v>38</v>
      </c>
      <c r="C72" s="144">
        <f>SUM(D72:J72)</f>
        <v>6370</v>
      </c>
      <c r="D72" s="144">
        <v>0</v>
      </c>
      <c r="E72" s="185">
        <v>0</v>
      </c>
      <c r="F72" s="144">
        <v>0</v>
      </c>
      <c r="G72" s="144">
        <v>0</v>
      </c>
      <c r="H72" s="144">
        <v>0</v>
      </c>
      <c r="I72" s="144">
        <v>0</v>
      </c>
      <c r="J72" s="144">
        <v>6370</v>
      </c>
      <c r="K72" s="194"/>
    </row>
    <row r="73" spans="1:11" ht="29.25" customHeight="1">
      <c r="A73" s="192">
        <v>54</v>
      </c>
      <c r="B73" s="67" t="s">
        <v>35</v>
      </c>
      <c r="C73" s="144">
        <f>SUM(D73:J73)</f>
        <v>76994.899999999994</v>
      </c>
      <c r="D73" s="144">
        <f>15779+5</f>
        <v>15784</v>
      </c>
      <c r="E73" s="185">
        <f>'ПРИЛОЖЕНИЕ №3'!K81</f>
        <v>1546.6999999999998</v>
      </c>
      <c r="F73" s="185">
        <f>'ПРИЛОЖЕНИЕ №3'!L81</f>
        <v>8598</v>
      </c>
      <c r="G73" s="185">
        <f>'ПРИЛОЖЕНИЕ №3'!M81</f>
        <v>15828.2</v>
      </c>
      <c r="H73" s="185">
        <f>'ПРИЛОЖЕНИЕ №3'!N81</f>
        <v>26936</v>
      </c>
      <c r="I73" s="185">
        <f>'ПРИЛОЖЕНИЕ №3'!O81</f>
        <v>3812</v>
      </c>
      <c r="J73" s="144">
        <f>4490</f>
        <v>4490</v>
      </c>
      <c r="K73" s="288" t="s">
        <v>390</v>
      </c>
    </row>
    <row r="74" spans="1:11">
      <c r="A74" s="192">
        <v>55</v>
      </c>
      <c r="B74" s="381" t="s">
        <v>52</v>
      </c>
      <c r="C74" s="381"/>
      <c r="D74" s="381"/>
      <c r="E74" s="381"/>
      <c r="F74" s="381"/>
      <c r="G74" s="381"/>
      <c r="H74" s="381"/>
      <c r="I74" s="381"/>
      <c r="J74" s="381"/>
      <c r="K74" s="194"/>
    </row>
    <row r="75" spans="1:11" ht="25.5">
      <c r="A75" s="192">
        <v>56</v>
      </c>
      <c r="B75" s="65" t="s">
        <v>388</v>
      </c>
      <c r="C75" s="191">
        <f>SUM(D75:J75)</f>
        <v>15469</v>
      </c>
      <c r="D75" s="191">
        <f t="shared" ref="D75:I75" si="34">D76</f>
        <v>1500</v>
      </c>
      <c r="E75" s="193">
        <f>E76</f>
        <v>3275</v>
      </c>
      <c r="F75" s="191">
        <f t="shared" si="34"/>
        <v>1760.6</v>
      </c>
      <c r="G75" s="191">
        <f t="shared" si="34"/>
        <v>2734</v>
      </c>
      <c r="H75" s="191">
        <f t="shared" si="34"/>
        <v>3899.4</v>
      </c>
      <c r="I75" s="191">
        <f t="shared" si="34"/>
        <v>800</v>
      </c>
      <c r="J75" s="191">
        <f>SUM(J76)</f>
        <v>1500</v>
      </c>
      <c r="K75" s="194" t="s">
        <v>305</v>
      </c>
    </row>
    <row r="76" spans="1:11" ht="18.75" customHeight="1">
      <c r="A76" s="192">
        <v>57</v>
      </c>
      <c r="B76" s="67" t="s">
        <v>35</v>
      </c>
      <c r="C76" s="144">
        <f t="shared" ref="C76:C80" si="35">SUM(D76:J76)</f>
        <v>15469</v>
      </c>
      <c r="D76" s="144">
        <f t="shared" ref="D76" si="36">D77</f>
        <v>1500</v>
      </c>
      <c r="E76" s="185">
        <f>E77+E79</f>
        <v>3275</v>
      </c>
      <c r="F76" s="185">
        <f t="shared" ref="F76:J76" si="37">F77+F79</f>
        <v>1760.6</v>
      </c>
      <c r="G76" s="185">
        <f>G77+G79</f>
        <v>2734</v>
      </c>
      <c r="H76" s="185">
        <f t="shared" si="37"/>
        <v>3899.4</v>
      </c>
      <c r="I76" s="185">
        <f t="shared" si="37"/>
        <v>800</v>
      </c>
      <c r="J76" s="185">
        <f t="shared" si="37"/>
        <v>1500</v>
      </c>
      <c r="K76" s="194"/>
    </row>
    <row r="77" spans="1:11" ht="38.25">
      <c r="A77" s="192">
        <v>58</v>
      </c>
      <c r="B77" s="65" t="s">
        <v>53</v>
      </c>
      <c r="C77" s="191">
        <f t="shared" si="35"/>
        <v>9256</v>
      </c>
      <c r="D77" s="191">
        <f t="shared" ref="D77:I77" si="38">D78</f>
        <v>1500</v>
      </c>
      <c r="E77" s="193">
        <f t="shared" si="38"/>
        <v>1256</v>
      </c>
      <c r="F77" s="191">
        <f t="shared" si="38"/>
        <v>600</v>
      </c>
      <c r="G77" s="294">
        <f t="shared" si="38"/>
        <v>1100</v>
      </c>
      <c r="H77" s="312">
        <f t="shared" si="38"/>
        <v>2500</v>
      </c>
      <c r="I77" s="191">
        <f t="shared" si="38"/>
        <v>800</v>
      </c>
      <c r="J77" s="191">
        <f>SUM(J78)</f>
        <v>1500</v>
      </c>
      <c r="K77" s="194"/>
    </row>
    <row r="78" spans="1:11" ht="22.5" customHeight="1">
      <c r="A78" s="192">
        <v>59</v>
      </c>
      <c r="B78" s="67" t="s">
        <v>35</v>
      </c>
      <c r="C78" s="144">
        <f t="shared" si="35"/>
        <v>9256</v>
      </c>
      <c r="D78" s="144">
        <f>1500</f>
        <v>1500</v>
      </c>
      <c r="E78" s="185">
        <f>'ПРИЛОЖЕНИЕ №4'!F74+'ПРИЛОЖЕНИЕ №4'!F57</f>
        <v>1256</v>
      </c>
      <c r="F78" s="185">
        <f>'ПРИЛОЖЕНИЕ №4'!G57</f>
        <v>600</v>
      </c>
      <c r="G78" s="185">
        <f>'ПРИЛОЖЕНИЕ №4'!H57</f>
        <v>1100</v>
      </c>
      <c r="H78" s="185">
        <f>'ПРИЛОЖЕНИЕ №4'!I57</f>
        <v>2500</v>
      </c>
      <c r="I78" s="185">
        <f>'ПРИЛОЖЕНИЕ №4'!J57</f>
        <v>800</v>
      </c>
      <c r="J78" s="144">
        <v>1500</v>
      </c>
      <c r="K78" s="194" t="s">
        <v>306</v>
      </c>
    </row>
    <row r="79" spans="1:11" ht="27" customHeight="1">
      <c r="A79" s="192">
        <v>60</v>
      </c>
      <c r="B79" s="65" t="s">
        <v>389</v>
      </c>
      <c r="C79" s="191">
        <f>SUM(D79:J79)</f>
        <v>6213</v>
      </c>
      <c r="D79" s="191">
        <v>0</v>
      </c>
      <c r="E79" s="193">
        <f>E80</f>
        <v>2019</v>
      </c>
      <c r="F79" s="249">
        <f>F80</f>
        <v>1160.5999999999999</v>
      </c>
      <c r="G79" s="295">
        <f>G80</f>
        <v>1634</v>
      </c>
      <c r="H79" s="315">
        <f t="shared" ref="H79:J79" si="39">H80</f>
        <v>1399.4</v>
      </c>
      <c r="I79" s="315">
        <f t="shared" si="39"/>
        <v>0</v>
      </c>
      <c r="J79" s="315">
        <f t="shared" si="39"/>
        <v>0</v>
      </c>
      <c r="K79" s="202"/>
    </row>
    <row r="80" spans="1:11" ht="22.5" customHeight="1" thickBot="1">
      <c r="A80" s="59">
        <v>61</v>
      </c>
      <c r="B80" s="68" t="s">
        <v>35</v>
      </c>
      <c r="C80" s="148">
        <f t="shared" si="35"/>
        <v>6213</v>
      </c>
      <c r="D80" s="148">
        <v>0</v>
      </c>
      <c r="E80" s="187">
        <f>'ПРИЛОЖЕНИЕ №3'!K121</f>
        <v>2019</v>
      </c>
      <c r="F80" s="148">
        <f>'ПРИЛОЖЕНИЕ №3'!L121</f>
        <v>1160.5999999999999</v>
      </c>
      <c r="G80" s="148">
        <f>'ПРИЛОЖЕНИЕ №3'!M121</f>
        <v>1634</v>
      </c>
      <c r="H80" s="148">
        <f>'ПРИЛОЖЕНИЕ №3'!N121</f>
        <v>1399.4</v>
      </c>
      <c r="I80" s="148">
        <v>0</v>
      </c>
      <c r="J80" s="148">
        <v>0</v>
      </c>
      <c r="K80" s="194" t="s">
        <v>306</v>
      </c>
    </row>
    <row r="81" spans="1:11" ht="19.5" customHeight="1">
      <c r="A81" s="190"/>
      <c r="B81" s="197"/>
      <c r="C81" s="199"/>
      <c r="D81" s="199"/>
      <c r="E81" s="200"/>
      <c r="F81" s="199"/>
      <c r="G81" s="199"/>
      <c r="H81" s="199"/>
      <c r="I81" s="199"/>
      <c r="J81" s="199"/>
      <c r="K81" s="72"/>
    </row>
    <row r="82" spans="1:11" ht="19.5" customHeight="1">
      <c r="A82" s="190"/>
      <c r="B82" s="197"/>
      <c r="C82" s="199"/>
      <c r="D82" s="199"/>
      <c r="E82" s="200"/>
      <c r="F82" s="199"/>
      <c r="G82" s="199"/>
      <c r="H82" s="199"/>
      <c r="I82" s="199"/>
      <c r="J82" s="199"/>
      <c r="K82" s="72"/>
    </row>
    <row r="83" spans="1:11" ht="19.5" customHeight="1">
      <c r="A83" s="190"/>
      <c r="B83" s="197"/>
      <c r="C83" s="199"/>
      <c r="D83" s="199"/>
      <c r="E83" s="200"/>
      <c r="F83" s="199"/>
      <c r="G83" s="199"/>
      <c r="H83" s="199"/>
      <c r="I83" s="199"/>
      <c r="J83" s="199"/>
      <c r="K83" s="72"/>
    </row>
    <row r="84" spans="1:11">
      <c r="A84" s="58"/>
      <c r="B84" s="58"/>
      <c r="C84" s="58"/>
      <c r="D84" s="58"/>
      <c r="E84" s="188"/>
      <c r="F84" s="58"/>
      <c r="G84" s="58"/>
      <c r="H84" s="58"/>
      <c r="I84" s="58"/>
      <c r="J84" s="58"/>
      <c r="K84" s="58"/>
    </row>
    <row r="85" spans="1:11" ht="18.75">
      <c r="A85" s="4"/>
    </row>
    <row r="86" spans="1:11" ht="15">
      <c r="A86" s="2"/>
    </row>
    <row r="87" spans="1:11" ht="15">
      <c r="A87" s="2"/>
    </row>
  </sheetData>
  <mergeCells count="64">
    <mergeCell ref="A1:K1"/>
    <mergeCell ref="A2:K2"/>
    <mergeCell ref="A3:K3"/>
    <mergeCell ref="A4:K4"/>
    <mergeCell ref="B10:B13"/>
    <mergeCell ref="K10:K13"/>
    <mergeCell ref="I12:I13"/>
    <mergeCell ref="E12:E13"/>
    <mergeCell ref="C12:C13"/>
    <mergeCell ref="D12:D13"/>
    <mergeCell ref="G12:G13"/>
    <mergeCell ref="H12:H13"/>
    <mergeCell ref="K49:K51"/>
    <mergeCell ref="B49:B51"/>
    <mergeCell ref="A54:A55"/>
    <mergeCell ref="B65:J65"/>
    <mergeCell ref="B70:J70"/>
    <mergeCell ref="B54:B55"/>
    <mergeCell ref="D54:D55"/>
    <mergeCell ref="H54:H55"/>
    <mergeCell ref="I54:I55"/>
    <mergeCell ref="C54:C55"/>
    <mergeCell ref="H49:H51"/>
    <mergeCell ref="I49:I51"/>
    <mergeCell ref="G49:G51"/>
    <mergeCell ref="J49:J51"/>
    <mergeCell ref="A49:A51"/>
    <mergeCell ref="C49:C51"/>
    <mergeCell ref="B74:J74"/>
    <mergeCell ref="A5:K5"/>
    <mergeCell ref="A6:K6"/>
    <mergeCell ref="A7:K7"/>
    <mergeCell ref="A8:K8"/>
    <mergeCell ref="J54:J55"/>
    <mergeCell ref="K54:K55"/>
    <mergeCell ref="C10:J11"/>
    <mergeCell ref="F12:F13"/>
    <mergeCell ref="A10:A13"/>
    <mergeCell ref="J12:J13"/>
    <mergeCell ref="B60:K60"/>
    <mergeCell ref="F54:F55"/>
    <mergeCell ref="G54:G55"/>
    <mergeCell ref="K56:K57"/>
    <mergeCell ref="E54:E55"/>
    <mergeCell ref="D49:D51"/>
    <mergeCell ref="E49:E51"/>
    <mergeCell ref="F49:F51"/>
    <mergeCell ref="B45:J45"/>
    <mergeCell ref="B48:J48"/>
    <mergeCell ref="G38:G39"/>
    <mergeCell ref="H38:H39"/>
    <mergeCell ref="F38:F39"/>
    <mergeCell ref="A26:A27"/>
    <mergeCell ref="B26:K27"/>
    <mergeCell ref="B32:J32"/>
    <mergeCell ref="B37:J37"/>
    <mergeCell ref="D38:D39"/>
    <mergeCell ref="E38:E39"/>
    <mergeCell ref="B38:B39"/>
    <mergeCell ref="C38:C39"/>
    <mergeCell ref="K38:K39"/>
    <mergeCell ref="I38:I39"/>
    <mergeCell ref="J38:J39"/>
    <mergeCell ref="A38:A39"/>
  </mergeCells>
  <phoneticPr fontId="0" type="noConversion"/>
  <pageMargins left="0.19685039370078741" right="0.38" top="0.48" bottom="0.98425196850393704" header="0.23" footer="0.51181102362204722"/>
  <pageSetup paperSize="9" scale="78" orientation="landscape" r:id="rId1"/>
  <headerFooter alignWithMargins="0"/>
  <rowBreaks count="2" manualBreakCount="2">
    <brk id="31" max="10" man="1"/>
    <brk id="59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P135"/>
  <sheetViews>
    <sheetView workbookViewId="0">
      <selection sqref="A1:P1"/>
    </sheetView>
  </sheetViews>
  <sheetFormatPr defaultRowHeight="12.75"/>
  <cols>
    <col min="1" max="1" width="9" customWidth="1"/>
    <col min="2" max="2" width="34.5703125" customWidth="1"/>
    <col min="3" max="3" width="10.140625" customWidth="1"/>
    <col min="4" max="4" width="11.7109375" customWidth="1"/>
    <col min="5" max="5" width="10.7109375" customWidth="1"/>
    <col min="6" max="6" width="9.7109375" customWidth="1"/>
    <col min="7" max="7" width="12.5703125" customWidth="1"/>
    <col min="8" max="8" width="15.28515625" customWidth="1"/>
    <col min="9" max="9" width="11" customWidth="1"/>
    <col min="10" max="10" width="10.85546875" customWidth="1"/>
    <col min="11" max="11" width="10.42578125" style="116" customWidth="1"/>
    <col min="12" max="12" width="9.85546875" customWidth="1"/>
    <col min="13" max="13" width="10.28515625" customWidth="1"/>
    <col min="14" max="14" width="10.140625" customWidth="1"/>
    <col min="15" max="15" width="9.85546875" customWidth="1"/>
    <col min="16" max="16" width="11" customWidth="1"/>
  </cols>
  <sheetData>
    <row r="1" spans="1:16" ht="15.75">
      <c r="A1" s="334" t="s">
        <v>353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</row>
    <row r="2" spans="1:16" ht="15.75">
      <c r="A2" s="334" t="s">
        <v>352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</row>
    <row r="3" spans="1:16" ht="15.75">
      <c r="A3" s="334" t="s">
        <v>355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</row>
    <row r="4" spans="1:16" ht="15.75">
      <c r="A4" s="334" t="s">
        <v>354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</row>
    <row r="5" spans="1:16" ht="15.75">
      <c r="A5" s="60"/>
    </row>
    <row r="6" spans="1:16" ht="15.75">
      <c r="A6" s="417" t="s">
        <v>58</v>
      </c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</row>
    <row r="7" spans="1:16" ht="15.75">
      <c r="A7" s="417" t="s">
        <v>163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</row>
    <row r="8" spans="1:16" ht="16.5" thickBot="1">
      <c r="A8" s="468" t="s">
        <v>164</v>
      </c>
      <c r="B8" s="468"/>
      <c r="C8" s="468"/>
      <c r="D8" s="468"/>
      <c r="E8" s="468"/>
      <c r="F8" s="468"/>
      <c r="G8" s="468"/>
      <c r="H8" s="468"/>
      <c r="I8" s="468"/>
      <c r="J8" s="468"/>
      <c r="K8" s="468"/>
      <c r="L8" s="468"/>
      <c r="M8" s="468"/>
      <c r="N8" s="468"/>
      <c r="O8" s="468"/>
      <c r="P8" s="468"/>
    </row>
    <row r="9" spans="1:16" ht="30" customHeight="1">
      <c r="A9" s="469" t="s">
        <v>165</v>
      </c>
      <c r="B9" s="435" t="s">
        <v>166</v>
      </c>
      <c r="C9" s="435" t="s">
        <v>239</v>
      </c>
      <c r="D9" s="464" t="s">
        <v>59</v>
      </c>
      <c r="E9" s="435" t="s">
        <v>218</v>
      </c>
      <c r="F9" s="454" t="s">
        <v>226</v>
      </c>
      <c r="G9" s="455"/>
      <c r="H9" s="435" t="s">
        <v>219</v>
      </c>
      <c r="I9" s="481" t="s">
        <v>60</v>
      </c>
      <c r="J9" s="481"/>
      <c r="K9" s="481"/>
      <c r="L9" s="481"/>
      <c r="M9" s="481"/>
      <c r="N9" s="481"/>
      <c r="O9" s="481"/>
      <c r="P9" s="482"/>
    </row>
    <row r="10" spans="1:16" ht="15">
      <c r="A10" s="470"/>
      <c r="B10" s="436"/>
      <c r="C10" s="436"/>
      <c r="D10" s="465"/>
      <c r="E10" s="436"/>
      <c r="F10" s="456"/>
      <c r="G10" s="457"/>
      <c r="H10" s="436"/>
      <c r="I10" s="484" t="s">
        <v>61</v>
      </c>
      <c r="J10" s="245">
        <v>2014</v>
      </c>
      <c r="K10" s="245">
        <v>2015</v>
      </c>
      <c r="L10" s="245">
        <v>2016</v>
      </c>
      <c r="M10" s="245">
        <v>2017</v>
      </c>
      <c r="N10" s="245">
        <v>2018</v>
      </c>
      <c r="O10" s="245">
        <v>2019</v>
      </c>
      <c r="P10" s="62">
        <v>2020</v>
      </c>
    </row>
    <row r="11" spans="1:16" ht="31.5" customHeight="1">
      <c r="A11" s="471"/>
      <c r="B11" s="437"/>
      <c r="C11" s="437"/>
      <c r="D11" s="465"/>
      <c r="E11" s="437"/>
      <c r="F11" s="458"/>
      <c r="G11" s="459"/>
      <c r="H11" s="437"/>
      <c r="I11" s="484"/>
      <c r="J11" s="245" t="s">
        <v>62</v>
      </c>
      <c r="K11" s="245" t="s">
        <v>62</v>
      </c>
      <c r="L11" s="245" t="s">
        <v>62</v>
      </c>
      <c r="M11" s="245" t="s">
        <v>62</v>
      </c>
      <c r="N11" s="245" t="s">
        <v>62</v>
      </c>
      <c r="O11" s="245" t="s">
        <v>62</v>
      </c>
      <c r="P11" s="62" t="s">
        <v>62</v>
      </c>
    </row>
    <row r="12" spans="1:16" ht="17.25" customHeight="1">
      <c r="A12" s="247">
        <v>1</v>
      </c>
      <c r="B12" s="63">
        <v>2</v>
      </c>
      <c r="C12" s="63"/>
      <c r="D12" s="63">
        <v>3</v>
      </c>
      <c r="E12" s="63">
        <v>4</v>
      </c>
      <c r="F12" s="63">
        <v>5</v>
      </c>
      <c r="G12" s="63">
        <v>6</v>
      </c>
      <c r="H12" s="63">
        <v>7</v>
      </c>
      <c r="I12" s="63">
        <v>8</v>
      </c>
      <c r="J12" s="63">
        <v>9</v>
      </c>
      <c r="K12" s="63">
        <v>10</v>
      </c>
      <c r="L12" s="63">
        <v>11</v>
      </c>
      <c r="M12" s="63">
        <v>12</v>
      </c>
      <c r="N12" s="63">
        <v>13</v>
      </c>
      <c r="O12" s="63">
        <v>14</v>
      </c>
      <c r="P12" s="64">
        <v>15</v>
      </c>
    </row>
    <row r="13" spans="1:16" ht="75.75" hidden="1" customHeight="1">
      <c r="A13" s="246">
        <v>1</v>
      </c>
      <c r="B13" s="236" t="s">
        <v>265</v>
      </c>
      <c r="C13" s="236"/>
      <c r="D13" s="93" t="s">
        <v>36</v>
      </c>
      <c r="E13" s="461" t="s">
        <v>221</v>
      </c>
      <c r="F13" s="466" t="s">
        <v>266</v>
      </c>
      <c r="G13" s="467"/>
      <c r="H13" s="93" t="s">
        <v>222</v>
      </c>
      <c r="I13" s="104">
        <f>I14+I20+I27+I32+I37+I42+I45</f>
        <v>16336200</v>
      </c>
      <c r="J13" s="104">
        <f t="shared" ref="J13:P13" si="0">J14+J20+J27+J32+J37+J42+J45</f>
        <v>252000</v>
      </c>
      <c r="K13" s="104">
        <f t="shared" si="0"/>
        <v>277500</v>
      </c>
      <c r="L13" s="104">
        <f t="shared" si="0"/>
        <v>596700</v>
      </c>
      <c r="M13" s="104">
        <f t="shared" si="0"/>
        <v>2340000</v>
      </c>
      <c r="N13" s="104">
        <f t="shared" si="0"/>
        <v>3120000</v>
      </c>
      <c r="O13" s="104">
        <f t="shared" si="0"/>
        <v>3900000</v>
      </c>
      <c r="P13" s="105">
        <f t="shared" si="0"/>
        <v>5850000</v>
      </c>
    </row>
    <row r="14" spans="1:16" ht="29.25" hidden="1" customHeight="1">
      <c r="A14" s="94" t="s">
        <v>167</v>
      </c>
      <c r="B14" s="229" t="s">
        <v>63</v>
      </c>
      <c r="C14" s="423" t="s">
        <v>240</v>
      </c>
      <c r="D14" s="396" t="s">
        <v>36</v>
      </c>
      <c r="E14" s="462"/>
      <c r="F14" s="242"/>
      <c r="G14" s="242"/>
      <c r="H14" s="242"/>
      <c r="I14" s="239">
        <f>SUM(I15:I19)</f>
        <v>449880</v>
      </c>
      <c r="J14" s="239">
        <f t="shared" ref="J14:P14" si="1">SUM(J15:J19)</f>
        <v>0</v>
      </c>
      <c r="K14" s="239">
        <f t="shared" si="1"/>
        <v>176490</v>
      </c>
      <c r="L14" s="239">
        <f t="shared" si="1"/>
        <v>206700</v>
      </c>
      <c r="M14" s="239">
        <f t="shared" si="1"/>
        <v>0</v>
      </c>
      <c r="N14" s="239">
        <f t="shared" si="1"/>
        <v>0</v>
      </c>
      <c r="O14" s="239">
        <f t="shared" si="1"/>
        <v>0</v>
      </c>
      <c r="P14" s="240">
        <f t="shared" si="1"/>
        <v>66690</v>
      </c>
    </row>
    <row r="15" spans="1:16" ht="51" hidden="1">
      <c r="A15" s="95" t="s">
        <v>168</v>
      </c>
      <c r="B15" s="235" t="s">
        <v>64</v>
      </c>
      <c r="C15" s="424"/>
      <c r="D15" s="460"/>
      <c r="E15" s="462"/>
      <c r="F15" s="242"/>
      <c r="G15" s="242"/>
      <c r="H15" s="242"/>
      <c r="I15" s="239">
        <f>SUM(J15:P15)</f>
        <v>110720</v>
      </c>
      <c r="J15" s="239"/>
      <c r="K15" s="239">
        <f>1190*37</f>
        <v>44030</v>
      </c>
      <c r="L15" s="239"/>
      <c r="M15" s="239"/>
      <c r="N15" s="239"/>
      <c r="O15" s="239"/>
      <c r="P15" s="240">
        <f>1710*39</f>
        <v>66690</v>
      </c>
    </row>
    <row r="16" spans="1:16" ht="25.5" hidden="1" customHeight="1">
      <c r="A16" s="390" t="s">
        <v>65</v>
      </c>
      <c r="B16" s="235" t="s">
        <v>66</v>
      </c>
      <c r="C16" s="424"/>
      <c r="D16" s="460"/>
      <c r="E16" s="462"/>
      <c r="F16" s="232"/>
      <c r="G16" s="232"/>
      <c r="H16" s="232"/>
      <c r="I16" s="474">
        <f>SUM(J16:P16)</f>
        <v>206700</v>
      </c>
      <c r="J16" s="474"/>
      <c r="K16" s="474"/>
      <c r="L16" s="474">
        <f>5300*39</f>
        <v>206700</v>
      </c>
      <c r="M16" s="474"/>
      <c r="N16" s="474"/>
      <c r="O16" s="474"/>
      <c r="P16" s="472"/>
    </row>
    <row r="17" spans="1:16" ht="13.5" hidden="1" customHeight="1">
      <c r="A17" s="390"/>
      <c r="B17" s="235" t="s">
        <v>67</v>
      </c>
      <c r="C17" s="424"/>
      <c r="D17" s="460"/>
      <c r="E17" s="462"/>
      <c r="F17" s="233"/>
      <c r="G17" s="233"/>
      <c r="H17" s="233"/>
      <c r="I17" s="475"/>
      <c r="J17" s="475"/>
      <c r="K17" s="475"/>
      <c r="L17" s="475"/>
      <c r="M17" s="475"/>
      <c r="N17" s="475"/>
      <c r="O17" s="475"/>
      <c r="P17" s="473"/>
    </row>
    <row r="18" spans="1:16" ht="26.25" hidden="1" customHeight="1">
      <c r="A18" s="390" t="s">
        <v>68</v>
      </c>
      <c r="B18" s="235" t="s">
        <v>215</v>
      </c>
      <c r="C18" s="424"/>
      <c r="D18" s="460"/>
      <c r="E18" s="462"/>
      <c r="F18" s="232"/>
      <c r="G18" s="232"/>
      <c r="H18" s="232"/>
      <c r="I18" s="474">
        <f>SUM(J18:P18)</f>
        <v>132460</v>
      </c>
      <c r="J18" s="474"/>
      <c r="K18" s="474">
        <f>3580*37</f>
        <v>132460</v>
      </c>
      <c r="L18" s="474"/>
      <c r="M18" s="474"/>
      <c r="N18" s="474"/>
      <c r="O18" s="474"/>
      <c r="P18" s="472"/>
    </row>
    <row r="19" spans="1:16" ht="18" hidden="1" customHeight="1">
      <c r="A19" s="390"/>
      <c r="B19" s="235" t="s">
        <v>69</v>
      </c>
      <c r="C19" s="438"/>
      <c r="D19" s="397"/>
      <c r="E19" s="462"/>
      <c r="F19" s="233"/>
      <c r="G19" s="233"/>
      <c r="H19" s="233"/>
      <c r="I19" s="475"/>
      <c r="J19" s="475"/>
      <c r="K19" s="475"/>
      <c r="L19" s="475"/>
      <c r="M19" s="475"/>
      <c r="N19" s="475"/>
      <c r="O19" s="475"/>
      <c r="P19" s="473"/>
    </row>
    <row r="20" spans="1:16" ht="30" hidden="1" customHeight="1">
      <c r="A20" s="92" t="s">
        <v>70</v>
      </c>
      <c r="B20" s="234" t="s">
        <v>71</v>
      </c>
      <c r="C20" s="423" t="s">
        <v>241</v>
      </c>
      <c r="D20" s="396" t="s">
        <v>36</v>
      </c>
      <c r="E20" s="462"/>
      <c r="F20" s="242"/>
      <c r="G20" s="242"/>
      <c r="H20" s="242"/>
      <c r="I20" s="107">
        <f>SUM(I21:I25)</f>
        <v>827490</v>
      </c>
      <c r="J20" s="107">
        <f t="shared" ref="J20:P20" si="2">SUM(J21:J25)</f>
        <v>127050</v>
      </c>
      <c r="K20" s="107">
        <f t="shared" si="2"/>
        <v>0</v>
      </c>
      <c r="L20" s="107">
        <f t="shared" si="2"/>
        <v>214500</v>
      </c>
      <c r="M20" s="107">
        <f t="shared" si="2"/>
        <v>124020</v>
      </c>
      <c r="N20" s="107">
        <f t="shared" si="2"/>
        <v>148590</v>
      </c>
      <c r="O20" s="107">
        <f t="shared" si="2"/>
        <v>0</v>
      </c>
      <c r="P20" s="108">
        <f t="shared" si="2"/>
        <v>213330</v>
      </c>
    </row>
    <row r="21" spans="1:16" ht="38.25" hidden="1">
      <c r="A21" s="230" t="s">
        <v>72</v>
      </c>
      <c r="B21" s="235" t="s">
        <v>73</v>
      </c>
      <c r="C21" s="424"/>
      <c r="D21" s="460"/>
      <c r="E21" s="462"/>
      <c r="F21" s="242"/>
      <c r="G21" s="242"/>
      <c r="H21" s="242"/>
      <c r="I21" s="239">
        <f>SUM(J21:P21)</f>
        <v>212990</v>
      </c>
      <c r="J21" s="239">
        <f>1840*35</f>
        <v>64400</v>
      </c>
      <c r="K21" s="239"/>
      <c r="L21" s="239"/>
      <c r="M21" s="239"/>
      <c r="N21" s="239">
        <f>3810*39</f>
        <v>148590</v>
      </c>
      <c r="O21" s="239"/>
      <c r="P21" s="240"/>
    </row>
    <row r="22" spans="1:16" ht="38.25" hidden="1">
      <c r="A22" s="230" t="s">
        <v>74</v>
      </c>
      <c r="B22" s="235" t="s">
        <v>75</v>
      </c>
      <c r="C22" s="424"/>
      <c r="D22" s="460"/>
      <c r="E22" s="462"/>
      <c r="F22" s="242"/>
      <c r="G22" s="242"/>
      <c r="H22" s="242"/>
      <c r="I22" s="239">
        <f>SUM(J22:P22)</f>
        <v>186670</v>
      </c>
      <c r="J22" s="239">
        <f>1790*35</f>
        <v>62650</v>
      </c>
      <c r="K22" s="239"/>
      <c r="L22" s="239"/>
      <c r="M22" s="239">
        <f>3180*39</f>
        <v>124020</v>
      </c>
      <c r="N22" s="239"/>
      <c r="O22" s="239"/>
      <c r="P22" s="240"/>
    </row>
    <row r="23" spans="1:16" ht="25.5" hidden="1">
      <c r="A23" s="390" t="s">
        <v>76</v>
      </c>
      <c r="B23" s="235" t="s">
        <v>77</v>
      </c>
      <c r="C23" s="424"/>
      <c r="D23" s="460"/>
      <c r="E23" s="462"/>
      <c r="F23" s="242"/>
      <c r="G23" s="242"/>
      <c r="H23" s="242"/>
      <c r="I23" s="480">
        <f>SUM(J23:P24)</f>
        <v>288210</v>
      </c>
      <c r="J23" s="480"/>
      <c r="K23" s="480"/>
      <c r="L23" s="480">
        <f>2000*39</f>
        <v>78000</v>
      </c>
      <c r="M23" s="480"/>
      <c r="N23" s="480"/>
      <c r="O23" s="480"/>
      <c r="P23" s="483">
        <f>5390*39</f>
        <v>210210</v>
      </c>
    </row>
    <row r="24" spans="1:16" hidden="1">
      <c r="A24" s="390"/>
      <c r="B24" s="235" t="s">
        <v>78</v>
      </c>
      <c r="C24" s="424"/>
      <c r="D24" s="460"/>
      <c r="E24" s="462"/>
      <c r="F24" s="242"/>
      <c r="G24" s="242"/>
      <c r="H24" s="242"/>
      <c r="I24" s="480"/>
      <c r="J24" s="480"/>
      <c r="K24" s="480"/>
      <c r="L24" s="480"/>
      <c r="M24" s="480"/>
      <c r="N24" s="480"/>
      <c r="O24" s="480"/>
      <c r="P24" s="483"/>
    </row>
    <row r="25" spans="1:16" ht="43.5" hidden="1" customHeight="1">
      <c r="A25" s="230" t="s">
        <v>79</v>
      </c>
      <c r="B25" s="235" t="s">
        <v>80</v>
      </c>
      <c r="C25" s="438"/>
      <c r="D25" s="397"/>
      <c r="E25" s="462"/>
      <c r="F25" s="242"/>
      <c r="G25" s="242"/>
      <c r="H25" s="242"/>
      <c r="I25" s="239">
        <f>SUM(J25:P25)</f>
        <v>139620</v>
      </c>
      <c r="J25" s="239"/>
      <c r="K25" s="239"/>
      <c r="L25" s="239">
        <f>3500*39</f>
        <v>136500</v>
      </c>
      <c r="M25" s="239"/>
      <c r="N25" s="239"/>
      <c r="O25" s="239"/>
      <c r="P25" s="240">
        <f>80*39</f>
        <v>3120</v>
      </c>
    </row>
    <row r="26" spans="1:16" ht="15" hidden="1" customHeight="1">
      <c r="A26" s="96" t="s">
        <v>81</v>
      </c>
      <c r="B26" s="244" t="s">
        <v>82</v>
      </c>
      <c r="C26" s="244"/>
      <c r="D26" s="244" t="s">
        <v>83</v>
      </c>
      <c r="E26" s="462"/>
      <c r="F26" s="244"/>
      <c r="G26" s="244"/>
      <c r="H26" s="244"/>
      <c r="I26" s="99" t="s">
        <v>84</v>
      </c>
      <c r="J26" s="99" t="s">
        <v>85</v>
      </c>
      <c r="K26" s="99" t="s">
        <v>86</v>
      </c>
      <c r="L26" s="99" t="s">
        <v>87</v>
      </c>
      <c r="M26" s="99" t="s">
        <v>88</v>
      </c>
      <c r="N26" s="99" t="s">
        <v>89</v>
      </c>
      <c r="O26" s="99" t="s">
        <v>90</v>
      </c>
      <c r="P26" s="106" t="s">
        <v>91</v>
      </c>
    </row>
    <row r="27" spans="1:16" ht="38.25" hidden="1">
      <c r="A27" s="92" t="s">
        <v>92</v>
      </c>
      <c r="B27" s="97" t="s">
        <v>93</v>
      </c>
      <c r="C27" s="423" t="s">
        <v>242</v>
      </c>
      <c r="D27" s="451" t="s">
        <v>36</v>
      </c>
      <c r="E27" s="462"/>
      <c r="F27" s="242"/>
      <c r="G27" s="242"/>
      <c r="H27" s="242"/>
      <c r="I27" s="239">
        <f>SUM(I28:I31)</f>
        <v>115050</v>
      </c>
      <c r="J27" s="239">
        <f t="shared" ref="J27:P27" si="3">SUM(J28:J31)</f>
        <v>0</v>
      </c>
      <c r="K27" s="239">
        <f t="shared" si="3"/>
        <v>0</v>
      </c>
      <c r="L27" s="239">
        <f t="shared" si="3"/>
        <v>0</v>
      </c>
      <c r="M27" s="239">
        <f t="shared" si="3"/>
        <v>0</v>
      </c>
      <c r="N27" s="239">
        <f t="shared" si="3"/>
        <v>39000</v>
      </c>
      <c r="O27" s="239">
        <f t="shared" si="3"/>
        <v>0</v>
      </c>
      <c r="P27" s="240">
        <f t="shared" si="3"/>
        <v>76050</v>
      </c>
    </row>
    <row r="28" spans="1:16" ht="38.25" hidden="1">
      <c r="A28" s="230" t="s">
        <v>94</v>
      </c>
      <c r="B28" s="241" t="s">
        <v>95</v>
      </c>
      <c r="C28" s="424"/>
      <c r="D28" s="451"/>
      <c r="E28" s="462"/>
      <c r="F28" s="242"/>
      <c r="G28" s="242"/>
      <c r="H28" s="242"/>
      <c r="I28" s="239">
        <f>SUM(J28:P28)</f>
        <v>39000</v>
      </c>
      <c r="J28" s="239"/>
      <c r="K28" s="239"/>
      <c r="L28" s="239"/>
      <c r="M28" s="239"/>
      <c r="N28" s="239">
        <f>1000*39</f>
        <v>39000</v>
      </c>
      <c r="O28" s="239"/>
      <c r="P28" s="240"/>
    </row>
    <row r="29" spans="1:16" ht="38.25" hidden="1">
      <c r="A29" s="230" t="s">
        <v>96</v>
      </c>
      <c r="B29" s="235" t="s">
        <v>97</v>
      </c>
      <c r="C29" s="424"/>
      <c r="D29" s="451"/>
      <c r="E29" s="462"/>
      <c r="F29" s="242"/>
      <c r="G29" s="242"/>
      <c r="H29" s="242"/>
      <c r="I29" s="239">
        <f>SUM(J29:P29)</f>
        <v>19500</v>
      </c>
      <c r="J29" s="239"/>
      <c r="K29" s="239"/>
      <c r="L29" s="239"/>
      <c r="M29" s="239"/>
      <c r="N29" s="239"/>
      <c r="O29" s="239"/>
      <c r="P29" s="240">
        <f>500*39</f>
        <v>19500</v>
      </c>
    </row>
    <row r="30" spans="1:16" ht="38.25" hidden="1">
      <c r="A30" s="230" t="s">
        <v>98</v>
      </c>
      <c r="B30" s="235" t="s">
        <v>99</v>
      </c>
      <c r="C30" s="424"/>
      <c r="D30" s="451"/>
      <c r="E30" s="462"/>
      <c r="F30" s="242"/>
      <c r="G30" s="242"/>
      <c r="H30" s="242"/>
      <c r="I30" s="239">
        <f>SUM(J30:P30)</f>
        <v>19500</v>
      </c>
      <c r="J30" s="239"/>
      <c r="K30" s="239"/>
      <c r="L30" s="239"/>
      <c r="M30" s="239"/>
      <c r="N30" s="239"/>
      <c r="O30" s="239"/>
      <c r="P30" s="240">
        <f>500*39</f>
        <v>19500</v>
      </c>
    </row>
    <row r="31" spans="1:16" ht="51" hidden="1">
      <c r="A31" s="230" t="s">
        <v>100</v>
      </c>
      <c r="B31" s="235" t="s">
        <v>101</v>
      </c>
      <c r="C31" s="438"/>
      <c r="D31" s="451"/>
      <c r="E31" s="462"/>
      <c r="F31" s="242"/>
      <c r="G31" s="242"/>
      <c r="H31" s="242"/>
      <c r="I31" s="239">
        <f>SUM(J31:P31)</f>
        <v>37050</v>
      </c>
      <c r="J31" s="239"/>
      <c r="K31" s="239"/>
      <c r="L31" s="239"/>
      <c r="M31" s="239"/>
      <c r="N31" s="239"/>
      <c r="O31" s="239"/>
      <c r="P31" s="240">
        <f>950*39</f>
        <v>37050</v>
      </c>
    </row>
    <row r="32" spans="1:16" ht="30" hidden="1" customHeight="1">
      <c r="A32" s="92" t="s">
        <v>102</v>
      </c>
      <c r="B32" s="234" t="s">
        <v>103</v>
      </c>
      <c r="C32" s="423" t="s">
        <v>243</v>
      </c>
      <c r="D32" s="451" t="s">
        <v>36</v>
      </c>
      <c r="E32" s="462"/>
      <c r="F32" s="242"/>
      <c r="G32" s="242"/>
      <c r="H32" s="242"/>
      <c r="I32" s="107">
        <f>SUM(I33:I36)</f>
        <v>791700</v>
      </c>
      <c r="J32" s="107">
        <f t="shared" ref="J32:P32" si="4">SUM(J33:J36)</f>
        <v>0</v>
      </c>
      <c r="K32" s="107">
        <f t="shared" si="4"/>
        <v>0</v>
      </c>
      <c r="L32" s="107">
        <f t="shared" si="4"/>
        <v>0</v>
      </c>
      <c r="M32" s="107">
        <f t="shared" si="4"/>
        <v>187980</v>
      </c>
      <c r="N32" s="107">
        <f t="shared" si="4"/>
        <v>173940</v>
      </c>
      <c r="O32" s="107">
        <f t="shared" si="4"/>
        <v>0</v>
      </c>
      <c r="P32" s="108">
        <f t="shared" si="4"/>
        <v>429780</v>
      </c>
    </row>
    <row r="33" spans="1:16" ht="25.5" hidden="1">
      <c r="A33" s="230" t="s">
        <v>104</v>
      </c>
      <c r="B33" s="235" t="s">
        <v>105</v>
      </c>
      <c r="C33" s="424"/>
      <c r="D33" s="451"/>
      <c r="E33" s="462"/>
      <c r="F33" s="242"/>
      <c r="G33" s="242"/>
      <c r="H33" s="242"/>
      <c r="I33" s="239">
        <f>SUM(J33:P33)</f>
        <v>241800</v>
      </c>
      <c r="J33" s="239"/>
      <c r="K33" s="239"/>
      <c r="L33" s="239"/>
      <c r="M33" s="239"/>
      <c r="N33" s="239"/>
      <c r="O33" s="239"/>
      <c r="P33" s="240">
        <f>6200*39</f>
        <v>241800</v>
      </c>
    </row>
    <row r="34" spans="1:16" ht="25.5" hidden="1">
      <c r="A34" s="230" t="s">
        <v>106</v>
      </c>
      <c r="B34" s="235" t="s">
        <v>107</v>
      </c>
      <c r="C34" s="424"/>
      <c r="D34" s="451"/>
      <c r="E34" s="462"/>
      <c r="F34" s="242"/>
      <c r="G34" s="242"/>
      <c r="H34" s="242"/>
      <c r="I34" s="239">
        <f>SUM(J34:P34)</f>
        <v>173940</v>
      </c>
      <c r="J34" s="239"/>
      <c r="K34" s="239"/>
      <c r="L34" s="239"/>
      <c r="M34" s="239"/>
      <c r="N34" s="239">
        <f>4460*39</f>
        <v>173940</v>
      </c>
      <c r="O34" s="239"/>
      <c r="P34" s="240"/>
    </row>
    <row r="35" spans="1:16" ht="25.5" hidden="1">
      <c r="A35" s="230" t="s">
        <v>108</v>
      </c>
      <c r="B35" s="235" t="s">
        <v>109</v>
      </c>
      <c r="C35" s="424"/>
      <c r="D35" s="451"/>
      <c r="E35" s="462"/>
      <c r="F35" s="242"/>
      <c r="G35" s="242"/>
      <c r="H35" s="242"/>
      <c r="I35" s="239">
        <f>SUM(J35:P35)</f>
        <v>89700</v>
      </c>
      <c r="J35" s="239"/>
      <c r="K35" s="239"/>
      <c r="L35" s="239"/>
      <c r="M35" s="239">
        <f>1150*39</f>
        <v>44850</v>
      </c>
      <c r="N35" s="239"/>
      <c r="O35" s="239"/>
      <c r="P35" s="240">
        <f>1150*39</f>
        <v>44850</v>
      </c>
    </row>
    <row r="36" spans="1:16" ht="25.5" hidden="1">
      <c r="A36" s="230" t="s">
        <v>110</v>
      </c>
      <c r="B36" s="235" t="s">
        <v>111</v>
      </c>
      <c r="C36" s="438"/>
      <c r="D36" s="451"/>
      <c r="E36" s="462"/>
      <c r="F36" s="242"/>
      <c r="G36" s="242"/>
      <c r="H36" s="242"/>
      <c r="I36" s="239">
        <f>SUM(J36:P36)</f>
        <v>286260</v>
      </c>
      <c r="J36" s="239"/>
      <c r="K36" s="239"/>
      <c r="L36" s="239"/>
      <c r="M36" s="239">
        <f>3670*39</f>
        <v>143130</v>
      </c>
      <c r="N36" s="239"/>
      <c r="O36" s="239"/>
      <c r="P36" s="240">
        <f>3670*39</f>
        <v>143130</v>
      </c>
    </row>
    <row r="37" spans="1:16" ht="29.25" hidden="1" customHeight="1">
      <c r="A37" s="92" t="s">
        <v>112</v>
      </c>
      <c r="B37" s="234" t="s">
        <v>113</v>
      </c>
      <c r="C37" s="423" t="s">
        <v>244</v>
      </c>
      <c r="D37" s="451" t="s">
        <v>36</v>
      </c>
      <c r="E37" s="462"/>
      <c r="F37" s="242"/>
      <c r="G37" s="242"/>
      <c r="H37" s="242"/>
      <c r="I37" s="107">
        <f>SUM(I38:I41)</f>
        <v>12751880</v>
      </c>
      <c r="J37" s="107">
        <f t="shared" ref="J37:P37" si="5">SUM(J38:J41)</f>
        <v>47950</v>
      </c>
      <c r="K37" s="107">
        <f t="shared" si="5"/>
        <v>49210</v>
      </c>
      <c r="L37" s="107">
        <f t="shared" si="5"/>
        <v>97500</v>
      </c>
      <c r="M37" s="107">
        <f t="shared" si="5"/>
        <v>1755000</v>
      </c>
      <c r="N37" s="107">
        <f t="shared" si="5"/>
        <v>2758470</v>
      </c>
      <c r="O37" s="107">
        <f t="shared" si="5"/>
        <v>3619200</v>
      </c>
      <c r="P37" s="108">
        <f t="shared" si="5"/>
        <v>4424550</v>
      </c>
    </row>
    <row r="38" spans="1:16" ht="38.25" hidden="1">
      <c r="A38" s="230" t="s">
        <v>114</v>
      </c>
      <c r="B38" s="241" t="s">
        <v>115</v>
      </c>
      <c r="C38" s="424"/>
      <c r="D38" s="451"/>
      <c r="E38" s="462"/>
      <c r="F38" s="242"/>
      <c r="G38" s="242"/>
      <c r="H38" s="242"/>
      <c r="I38" s="239">
        <f>SUM(J38:P38)</f>
        <v>4349670</v>
      </c>
      <c r="J38" s="239"/>
      <c r="K38" s="239"/>
      <c r="L38" s="239"/>
      <c r="M38" s="239">
        <f>20000*39</f>
        <v>780000</v>
      </c>
      <c r="N38" s="239">
        <f>50000*39-8470*39</f>
        <v>1619670</v>
      </c>
      <c r="O38" s="239"/>
      <c r="P38" s="108">
        <f>50000*39</f>
        <v>1950000</v>
      </c>
    </row>
    <row r="39" spans="1:16" ht="25.5" hidden="1">
      <c r="A39" s="230" t="s">
        <v>116</v>
      </c>
      <c r="B39" s="241" t="s">
        <v>117</v>
      </c>
      <c r="C39" s="424"/>
      <c r="D39" s="451"/>
      <c r="E39" s="462"/>
      <c r="F39" s="242"/>
      <c r="G39" s="242"/>
      <c r="H39" s="242"/>
      <c r="I39" s="239">
        <f>SUM(J39:P39)</f>
        <v>2082600</v>
      </c>
      <c r="J39" s="239"/>
      <c r="K39" s="239"/>
      <c r="L39" s="239"/>
      <c r="M39" s="239">
        <f>20000*39</f>
        <v>780000</v>
      </c>
      <c r="N39" s="239">
        <f>29200*39</f>
        <v>1138800</v>
      </c>
      <c r="O39" s="239"/>
      <c r="P39" s="240">
        <f>4200*39</f>
        <v>163800</v>
      </c>
    </row>
    <row r="40" spans="1:16" ht="25.5" hidden="1">
      <c r="A40" s="230" t="s">
        <v>118</v>
      </c>
      <c r="B40" s="98" t="s">
        <v>119</v>
      </c>
      <c r="C40" s="424"/>
      <c r="D40" s="451"/>
      <c r="E40" s="462"/>
      <c r="F40" s="242"/>
      <c r="G40" s="242"/>
      <c r="H40" s="242"/>
      <c r="I40" s="107">
        <f>SUM(J40:P40)</f>
        <v>1279200</v>
      </c>
      <c r="J40" s="107"/>
      <c r="K40" s="107"/>
      <c r="L40" s="107"/>
      <c r="M40" s="107"/>
      <c r="N40" s="107"/>
      <c r="O40" s="107">
        <f>32800*39</f>
        <v>1279200</v>
      </c>
      <c r="P40" s="108"/>
    </row>
    <row r="41" spans="1:16" ht="25.5" hidden="1">
      <c r="A41" s="230" t="s">
        <v>120</v>
      </c>
      <c r="B41" s="241" t="s">
        <v>121</v>
      </c>
      <c r="C41" s="438"/>
      <c r="D41" s="451"/>
      <c r="E41" s="462"/>
      <c r="F41" s="242"/>
      <c r="G41" s="242"/>
      <c r="H41" s="242"/>
      <c r="I41" s="239">
        <f>SUM(J41:P41)</f>
        <v>5040410</v>
      </c>
      <c r="J41" s="239">
        <f>1370*35</f>
        <v>47950</v>
      </c>
      <c r="K41" s="239">
        <f>1330*37</f>
        <v>49210</v>
      </c>
      <c r="L41" s="239">
        <f>2500*39</f>
        <v>97500</v>
      </c>
      <c r="M41" s="239">
        <f>5000*39</f>
        <v>195000</v>
      </c>
      <c r="N41" s="239"/>
      <c r="O41" s="239">
        <f>60000*39</f>
        <v>2340000</v>
      </c>
      <c r="P41" s="240">
        <f>59250*39</f>
        <v>2310750</v>
      </c>
    </row>
    <row r="42" spans="1:16" ht="30" hidden="1" customHeight="1">
      <c r="A42" s="92" t="s">
        <v>122</v>
      </c>
      <c r="B42" s="229" t="s">
        <v>123</v>
      </c>
      <c r="C42" s="423" t="s">
        <v>245</v>
      </c>
      <c r="D42" s="451" t="s">
        <v>36</v>
      </c>
      <c r="E42" s="462"/>
      <c r="F42" s="242"/>
      <c r="G42" s="242"/>
      <c r="H42" s="242"/>
      <c r="I42" s="107">
        <f>SUM(I43:I44)</f>
        <v>674200</v>
      </c>
      <c r="J42" s="107">
        <f t="shared" ref="J42:P42" si="6">SUM(J43:J44)</f>
        <v>35000</v>
      </c>
      <c r="K42" s="107">
        <f t="shared" si="6"/>
        <v>7400</v>
      </c>
      <c r="L42" s="107">
        <f t="shared" si="6"/>
        <v>0</v>
      </c>
      <c r="M42" s="107">
        <f t="shared" si="6"/>
        <v>78000</v>
      </c>
      <c r="N42" s="107">
        <f t="shared" si="6"/>
        <v>0</v>
      </c>
      <c r="O42" s="107">
        <f t="shared" si="6"/>
        <v>109200</v>
      </c>
      <c r="P42" s="108">
        <f t="shared" si="6"/>
        <v>444600</v>
      </c>
    </row>
    <row r="43" spans="1:16" ht="25.5" hidden="1">
      <c r="A43" s="230" t="s">
        <v>124</v>
      </c>
      <c r="B43" s="241" t="s">
        <v>125</v>
      </c>
      <c r="C43" s="424"/>
      <c r="D43" s="451"/>
      <c r="E43" s="462"/>
      <c r="F43" s="242"/>
      <c r="G43" s="242"/>
      <c r="H43" s="242"/>
      <c r="I43" s="107">
        <f>SUM(J43:P43)</f>
        <v>54600</v>
      </c>
      <c r="J43" s="107"/>
      <c r="K43" s="107"/>
      <c r="L43" s="107"/>
      <c r="M43" s="107"/>
      <c r="N43" s="107"/>
      <c r="O43" s="107"/>
      <c r="P43" s="108">
        <f>1400*39</f>
        <v>54600</v>
      </c>
    </row>
    <row r="44" spans="1:16" ht="25.5" hidden="1">
      <c r="A44" s="230" t="s">
        <v>126</v>
      </c>
      <c r="B44" s="241" t="s">
        <v>127</v>
      </c>
      <c r="C44" s="438"/>
      <c r="D44" s="451"/>
      <c r="E44" s="462"/>
      <c r="F44" s="242"/>
      <c r="G44" s="242"/>
      <c r="H44" s="242"/>
      <c r="I44" s="239">
        <f>SUM(J44:P44)</f>
        <v>619600</v>
      </c>
      <c r="J44" s="239">
        <f>1000*35</f>
        <v>35000</v>
      </c>
      <c r="K44" s="239">
        <f>200*37</f>
        <v>7400</v>
      </c>
      <c r="L44" s="239"/>
      <c r="M44" s="239">
        <f>2000*39</f>
        <v>78000</v>
      </c>
      <c r="N44" s="239"/>
      <c r="O44" s="239">
        <f>2800*39</f>
        <v>109200</v>
      </c>
      <c r="P44" s="240">
        <f>10000*39</f>
        <v>390000</v>
      </c>
    </row>
    <row r="45" spans="1:16" ht="17.25" hidden="1" customHeight="1">
      <c r="A45" s="92" t="s">
        <v>128</v>
      </c>
      <c r="B45" s="97" t="s">
        <v>129</v>
      </c>
      <c r="C45" s="423" t="s">
        <v>246</v>
      </c>
      <c r="D45" s="451" t="s">
        <v>36</v>
      </c>
      <c r="E45" s="462"/>
      <c r="F45" s="242"/>
      <c r="G45" s="242"/>
      <c r="H45" s="242"/>
      <c r="I45" s="107">
        <f>SUM(I46)</f>
        <v>726000</v>
      </c>
      <c r="J45" s="107">
        <f t="shared" ref="J45:P45" si="7">SUM(J46)</f>
        <v>42000</v>
      </c>
      <c r="K45" s="107">
        <f t="shared" si="7"/>
        <v>44400</v>
      </c>
      <c r="L45" s="107">
        <f t="shared" si="7"/>
        <v>78000</v>
      </c>
      <c r="M45" s="107">
        <f t="shared" si="7"/>
        <v>195000</v>
      </c>
      <c r="N45" s="107">
        <f t="shared" si="7"/>
        <v>0</v>
      </c>
      <c r="O45" s="107">
        <f t="shared" si="7"/>
        <v>171600</v>
      </c>
      <c r="P45" s="108">
        <f t="shared" si="7"/>
        <v>195000</v>
      </c>
    </row>
    <row r="46" spans="1:16" ht="32.25" hidden="1" customHeight="1">
      <c r="A46" s="230" t="s">
        <v>130</v>
      </c>
      <c r="B46" s="241" t="s">
        <v>127</v>
      </c>
      <c r="C46" s="438"/>
      <c r="D46" s="451"/>
      <c r="E46" s="463"/>
      <c r="F46" s="242"/>
      <c r="G46" s="242"/>
      <c r="H46" s="242"/>
      <c r="I46" s="239">
        <f>SUM(J46:P46)</f>
        <v>726000</v>
      </c>
      <c r="J46" s="239">
        <f>1200*35</f>
        <v>42000</v>
      </c>
      <c r="K46" s="239">
        <f>1200*37</f>
        <v>44400</v>
      </c>
      <c r="L46" s="239">
        <f>2000*39</f>
        <v>78000</v>
      </c>
      <c r="M46" s="239">
        <f>5000*39</f>
        <v>195000</v>
      </c>
      <c r="N46" s="239"/>
      <c r="O46" s="239">
        <f>4400*39</f>
        <v>171600</v>
      </c>
      <c r="P46" s="240">
        <f>5000*39</f>
        <v>195000</v>
      </c>
    </row>
    <row r="47" spans="1:16" ht="21" customHeight="1">
      <c r="A47" s="425" t="s">
        <v>299</v>
      </c>
      <c r="B47" s="426"/>
      <c r="C47" s="426"/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7"/>
    </row>
    <row r="48" spans="1:16" ht="51" customHeight="1">
      <c r="A48" s="432">
        <v>1</v>
      </c>
      <c r="B48" s="410" t="s">
        <v>217</v>
      </c>
      <c r="C48" s="413"/>
      <c r="D48" s="93" t="s">
        <v>38</v>
      </c>
      <c r="E48" s="396" t="s">
        <v>220</v>
      </c>
      <c r="F48" s="419"/>
      <c r="G48" s="420"/>
      <c r="H48" s="413" t="s">
        <v>222</v>
      </c>
      <c r="I48" s="104">
        <f>J48+K48+L48+M48+N48+O48+P48</f>
        <v>24100</v>
      </c>
      <c r="J48" s="104">
        <f>J50</f>
        <v>0</v>
      </c>
      <c r="K48" s="104">
        <f>K50</f>
        <v>0</v>
      </c>
      <c r="L48" s="104">
        <f>L50</f>
        <v>0</v>
      </c>
      <c r="M48" s="104">
        <f t="shared" ref="M48:P49" si="8">M50+M65+M73</f>
        <v>0</v>
      </c>
      <c r="N48" s="104">
        <f t="shared" si="8"/>
        <v>0</v>
      </c>
      <c r="O48" s="104">
        <f t="shared" si="8"/>
        <v>0</v>
      </c>
      <c r="P48" s="105">
        <f t="shared" si="8"/>
        <v>24100</v>
      </c>
    </row>
    <row r="49" spans="1:16" ht="44.25" customHeight="1">
      <c r="A49" s="432"/>
      <c r="B49" s="411"/>
      <c r="C49" s="414"/>
      <c r="D49" s="93" t="s">
        <v>35</v>
      </c>
      <c r="E49" s="397"/>
      <c r="F49" s="421"/>
      <c r="G49" s="422"/>
      <c r="H49" s="414"/>
      <c r="I49" s="104">
        <f>J49+K49+L49+M49+N49+O49+P49</f>
        <v>10480</v>
      </c>
      <c r="J49" s="104">
        <f>J51+J66+J74</f>
        <v>0</v>
      </c>
      <c r="K49" s="104">
        <f>K51+K66+K74</f>
        <v>0</v>
      </c>
      <c r="L49" s="104">
        <f>L51+L66+L74</f>
        <v>0</v>
      </c>
      <c r="M49" s="104">
        <f t="shared" si="8"/>
        <v>0</v>
      </c>
      <c r="N49" s="104">
        <f t="shared" si="8"/>
        <v>0</v>
      </c>
      <c r="O49" s="104">
        <f t="shared" si="8"/>
        <v>0</v>
      </c>
      <c r="P49" s="105">
        <f t="shared" si="8"/>
        <v>10480</v>
      </c>
    </row>
    <row r="50" spans="1:16" ht="38.25" customHeight="1">
      <c r="A50" s="407" t="s">
        <v>273</v>
      </c>
      <c r="B50" s="409" t="s">
        <v>216</v>
      </c>
      <c r="C50" s="423" t="s">
        <v>366</v>
      </c>
      <c r="D50" s="100" t="s">
        <v>38</v>
      </c>
      <c r="E50" s="396" t="s">
        <v>220</v>
      </c>
      <c r="F50" s="428"/>
      <c r="G50" s="429"/>
      <c r="H50" s="413" t="s">
        <v>222</v>
      </c>
      <c r="I50" s="104">
        <f>J50+K50+L50+M50+N50+O50+P50</f>
        <v>18300</v>
      </c>
      <c r="J50" s="107">
        <f>J52+J54+J56+J58+J60+J62</f>
        <v>0</v>
      </c>
      <c r="K50" s="107">
        <f t="shared" ref="K50:P50" si="9">K52+K54+K56+K58+K60+K62</f>
        <v>0</v>
      </c>
      <c r="L50" s="107">
        <f t="shared" si="9"/>
        <v>0</v>
      </c>
      <c r="M50" s="107">
        <f>M52+M54+M56+M58+M60+M62</f>
        <v>0</v>
      </c>
      <c r="N50" s="107">
        <f t="shared" si="9"/>
        <v>0</v>
      </c>
      <c r="O50" s="107">
        <f t="shared" si="9"/>
        <v>0</v>
      </c>
      <c r="P50" s="108">
        <f t="shared" si="9"/>
        <v>18300</v>
      </c>
    </row>
    <row r="51" spans="1:16" ht="45.75" customHeight="1">
      <c r="A51" s="407"/>
      <c r="B51" s="409"/>
      <c r="C51" s="424"/>
      <c r="D51" s="100" t="s">
        <v>35</v>
      </c>
      <c r="E51" s="397"/>
      <c r="F51" s="430"/>
      <c r="G51" s="431"/>
      <c r="H51" s="414"/>
      <c r="I51" s="104">
        <f>J51+K51+L51+M51+N51+O51+P51</f>
        <v>8000</v>
      </c>
      <c r="J51" s="107">
        <f>J53+J55+J57+J59+J61+J63</f>
        <v>0</v>
      </c>
      <c r="K51" s="107">
        <f>K53+K55+K57+K59+K61+K63</f>
        <v>0</v>
      </c>
      <c r="L51" s="107">
        <f>L53+L55+L57+L59+L61+L63</f>
        <v>0</v>
      </c>
      <c r="M51" s="107">
        <f>M53+M55+M57+M59+M61+M63+M64</f>
        <v>0</v>
      </c>
      <c r="N51" s="107">
        <f>N53+N55+N57+N59+N61+N63</f>
        <v>0</v>
      </c>
      <c r="O51" s="107">
        <f>O53+O55+O57+O59+O61+O63</f>
        <v>0</v>
      </c>
      <c r="P51" s="108">
        <f>P53+P55+P57+P59+P61+P63</f>
        <v>8000</v>
      </c>
    </row>
    <row r="52" spans="1:16" ht="37.5" customHeight="1">
      <c r="A52" s="406" t="s">
        <v>274</v>
      </c>
      <c r="B52" s="450" t="s">
        <v>224</v>
      </c>
      <c r="C52" s="424"/>
      <c r="D52" s="242" t="s">
        <v>38</v>
      </c>
      <c r="E52" s="396" t="s">
        <v>220</v>
      </c>
      <c r="F52" s="452">
        <v>10000</v>
      </c>
      <c r="G52" s="452">
        <v>10000</v>
      </c>
      <c r="H52" s="404" t="s">
        <v>262</v>
      </c>
      <c r="I52" s="239">
        <f t="shared" ref="I52:I63" si="10">SUM(J52:P52)</f>
        <v>0</v>
      </c>
      <c r="J52" s="107"/>
      <c r="K52" s="109"/>
      <c r="L52" s="107"/>
      <c r="M52" s="239"/>
      <c r="N52" s="107"/>
      <c r="O52" s="107"/>
      <c r="P52" s="108"/>
    </row>
    <row r="53" spans="1:16" ht="41.25" customHeight="1">
      <c r="A53" s="406"/>
      <c r="B53" s="450"/>
      <c r="C53" s="424"/>
      <c r="D53" s="242" t="s">
        <v>35</v>
      </c>
      <c r="E53" s="397"/>
      <c r="F53" s="405"/>
      <c r="G53" s="405"/>
      <c r="H53" s="405"/>
      <c r="I53" s="239">
        <f t="shared" si="10"/>
        <v>0</v>
      </c>
      <c r="J53" s="239">
        <f>10000-1648-310-350-2651-100-1520-200-5-100-200-2000-916</f>
        <v>0</v>
      </c>
      <c r="K53" s="109"/>
      <c r="L53" s="107"/>
      <c r="M53" s="239"/>
      <c r="N53" s="107"/>
      <c r="O53" s="107"/>
      <c r="P53" s="108"/>
    </row>
    <row r="54" spans="1:16" ht="27.75" customHeight="1">
      <c r="A54" s="406" t="s">
        <v>65</v>
      </c>
      <c r="B54" s="408" t="s">
        <v>351</v>
      </c>
      <c r="C54" s="424"/>
      <c r="D54" s="242" t="s">
        <v>38</v>
      </c>
      <c r="E54" s="396" t="s">
        <v>220</v>
      </c>
      <c r="F54" s="398" t="s">
        <v>300</v>
      </c>
      <c r="G54" s="399"/>
      <c r="H54" s="404" t="s">
        <v>367</v>
      </c>
      <c r="I54" s="239">
        <f t="shared" si="10"/>
        <v>18300</v>
      </c>
      <c r="J54" s="239"/>
      <c r="K54" s="110"/>
      <c r="L54" s="239"/>
      <c r="M54" s="239"/>
      <c r="N54" s="239"/>
      <c r="O54" s="239"/>
      <c r="P54" s="240">
        <v>18300</v>
      </c>
    </row>
    <row r="55" spans="1:16" ht="51.75" customHeight="1">
      <c r="A55" s="406"/>
      <c r="B55" s="408"/>
      <c r="C55" s="424"/>
      <c r="D55" s="242" t="s">
        <v>35</v>
      </c>
      <c r="E55" s="397"/>
      <c r="F55" s="400"/>
      <c r="G55" s="401"/>
      <c r="H55" s="405"/>
      <c r="I55" s="239">
        <f t="shared" si="10"/>
        <v>8000</v>
      </c>
      <c r="J55" s="239"/>
      <c r="K55" s="110"/>
      <c r="L55" s="239"/>
      <c r="M55" s="239"/>
      <c r="N55" s="239"/>
      <c r="O55" s="239"/>
      <c r="P55" s="240">
        <v>8000</v>
      </c>
    </row>
    <row r="56" spans="1:16" ht="32.25" customHeight="1">
      <c r="A56" s="406" t="s">
        <v>68</v>
      </c>
      <c r="B56" s="408" t="s">
        <v>225</v>
      </c>
      <c r="C56" s="424"/>
      <c r="D56" s="242" t="s">
        <v>38</v>
      </c>
      <c r="E56" s="396" t="s">
        <v>220</v>
      </c>
      <c r="F56" s="398" t="s">
        <v>300</v>
      </c>
      <c r="G56" s="399"/>
      <c r="H56" s="404" t="s">
        <v>367</v>
      </c>
      <c r="I56" s="239">
        <f t="shared" si="10"/>
        <v>0</v>
      </c>
      <c r="J56" s="239"/>
      <c r="K56" s="110"/>
      <c r="L56" s="239"/>
      <c r="M56" s="239"/>
      <c r="N56" s="239"/>
      <c r="O56" s="239"/>
      <c r="P56" s="240"/>
    </row>
    <row r="57" spans="1:16" ht="43.5" customHeight="1">
      <c r="A57" s="406"/>
      <c r="B57" s="408"/>
      <c r="C57" s="424"/>
      <c r="D57" s="242" t="s">
        <v>35</v>
      </c>
      <c r="E57" s="397"/>
      <c r="F57" s="400"/>
      <c r="G57" s="401"/>
      <c r="H57" s="405"/>
      <c r="I57" s="239">
        <f t="shared" si="10"/>
        <v>0</v>
      </c>
      <c r="J57" s="239"/>
      <c r="K57" s="110"/>
      <c r="L57" s="239"/>
      <c r="M57" s="239"/>
      <c r="N57" s="239"/>
      <c r="O57" s="239"/>
      <c r="P57" s="240"/>
    </row>
    <row r="58" spans="1:16" ht="35.25" customHeight="1">
      <c r="A58" s="406" t="s">
        <v>275</v>
      </c>
      <c r="B58" s="408" t="s">
        <v>227</v>
      </c>
      <c r="C58" s="424"/>
      <c r="D58" s="242" t="s">
        <v>38</v>
      </c>
      <c r="E58" s="396" t="s">
        <v>220</v>
      </c>
      <c r="F58" s="398" t="s">
        <v>300</v>
      </c>
      <c r="G58" s="399"/>
      <c r="H58" s="404" t="s">
        <v>367</v>
      </c>
      <c r="I58" s="239">
        <f t="shared" si="10"/>
        <v>0</v>
      </c>
      <c r="J58" s="239"/>
      <c r="K58" s="110"/>
      <c r="L58" s="239"/>
      <c r="M58" s="239"/>
      <c r="N58" s="239"/>
      <c r="O58" s="239"/>
      <c r="P58" s="240"/>
    </row>
    <row r="59" spans="1:16" ht="44.25" customHeight="1">
      <c r="A59" s="406"/>
      <c r="B59" s="408"/>
      <c r="C59" s="424"/>
      <c r="D59" s="242" t="s">
        <v>35</v>
      </c>
      <c r="E59" s="397"/>
      <c r="F59" s="400"/>
      <c r="G59" s="401"/>
      <c r="H59" s="405"/>
      <c r="I59" s="239">
        <f t="shared" si="10"/>
        <v>0</v>
      </c>
      <c r="J59" s="239"/>
      <c r="K59" s="110"/>
      <c r="L59" s="239"/>
      <c r="M59" s="239"/>
      <c r="N59" s="239">
        <f>8000-8000</f>
        <v>0</v>
      </c>
      <c r="O59" s="239"/>
      <c r="P59" s="240"/>
    </row>
    <row r="60" spans="1:16" ht="42" hidden="1" customHeight="1">
      <c r="A60" s="406" t="s">
        <v>276</v>
      </c>
      <c r="B60" s="408" t="s">
        <v>135</v>
      </c>
      <c r="C60" s="424"/>
      <c r="D60" s="242" t="s">
        <v>38</v>
      </c>
      <c r="E60" s="396" t="s">
        <v>220</v>
      </c>
      <c r="F60" s="398" t="s">
        <v>223</v>
      </c>
      <c r="G60" s="399"/>
      <c r="H60" s="242"/>
      <c r="I60" s="239">
        <f t="shared" si="10"/>
        <v>0</v>
      </c>
      <c r="J60" s="239"/>
      <c r="K60" s="110"/>
      <c r="L60" s="239"/>
      <c r="M60" s="239"/>
      <c r="N60" s="239"/>
      <c r="O60" s="239"/>
      <c r="P60" s="240"/>
    </row>
    <row r="61" spans="1:16" ht="12.75" hidden="1" customHeight="1">
      <c r="A61" s="406"/>
      <c r="B61" s="408"/>
      <c r="C61" s="424"/>
      <c r="D61" s="242" t="s">
        <v>35</v>
      </c>
      <c r="E61" s="397"/>
      <c r="F61" s="400"/>
      <c r="G61" s="401"/>
      <c r="H61" s="242"/>
      <c r="I61" s="239">
        <f t="shared" si="10"/>
        <v>0</v>
      </c>
      <c r="J61" s="239"/>
      <c r="K61" s="110"/>
      <c r="L61" s="239"/>
      <c r="M61" s="239"/>
      <c r="N61" s="239"/>
      <c r="O61" s="239"/>
      <c r="P61" s="240"/>
    </row>
    <row r="62" spans="1:16" ht="39" customHeight="1">
      <c r="A62" s="406" t="s">
        <v>276</v>
      </c>
      <c r="B62" s="408" t="s">
        <v>370</v>
      </c>
      <c r="C62" s="424"/>
      <c r="D62" s="242" t="s">
        <v>38</v>
      </c>
      <c r="E62" s="396" t="s">
        <v>220</v>
      </c>
      <c r="F62" s="398" t="s">
        <v>300</v>
      </c>
      <c r="G62" s="399"/>
      <c r="H62" s="404" t="s">
        <v>367</v>
      </c>
      <c r="I62" s="239">
        <f t="shared" si="10"/>
        <v>0</v>
      </c>
      <c r="J62" s="239"/>
      <c r="K62" s="110"/>
      <c r="L62" s="239"/>
      <c r="M62" s="239"/>
      <c r="N62" s="239"/>
      <c r="O62" s="239"/>
      <c r="P62" s="240"/>
    </row>
    <row r="63" spans="1:16" ht="34.5" customHeight="1">
      <c r="A63" s="406"/>
      <c r="B63" s="408"/>
      <c r="C63" s="424"/>
      <c r="D63" s="242" t="s">
        <v>35</v>
      </c>
      <c r="E63" s="397"/>
      <c r="F63" s="400"/>
      <c r="G63" s="401"/>
      <c r="H63" s="405"/>
      <c r="I63" s="239">
        <f t="shared" si="10"/>
        <v>0</v>
      </c>
      <c r="J63" s="239"/>
      <c r="K63" s="110"/>
      <c r="L63" s="239"/>
      <c r="M63" s="239"/>
      <c r="N63" s="239"/>
      <c r="O63" s="239"/>
      <c r="P63" s="240"/>
    </row>
    <row r="64" spans="1:16" ht="87" hidden="1" customHeight="1">
      <c r="A64" s="297" t="s">
        <v>400</v>
      </c>
      <c r="B64" s="301" t="s">
        <v>401</v>
      </c>
      <c r="C64" s="298"/>
      <c r="D64" s="299" t="s">
        <v>35</v>
      </c>
      <c r="E64" s="300" t="s">
        <v>220</v>
      </c>
      <c r="F64" s="433" t="s">
        <v>402</v>
      </c>
      <c r="G64" s="434"/>
      <c r="H64" s="306" t="s">
        <v>403</v>
      </c>
      <c r="I64" s="302">
        <v>0</v>
      </c>
      <c r="J64" s="302"/>
      <c r="K64" s="110"/>
      <c r="L64" s="302"/>
      <c r="M64" s="210">
        <v>0</v>
      </c>
      <c r="N64" s="302"/>
      <c r="O64" s="302"/>
      <c r="P64" s="303"/>
    </row>
    <row r="65" spans="1:16" ht="25.5">
      <c r="A65" s="407" t="s">
        <v>70</v>
      </c>
      <c r="B65" s="409" t="s">
        <v>137</v>
      </c>
      <c r="C65" s="402" t="s">
        <v>246</v>
      </c>
      <c r="D65" s="100" t="s">
        <v>38</v>
      </c>
      <c r="E65" s="396"/>
      <c r="F65" s="428"/>
      <c r="G65" s="429"/>
      <c r="H65" s="413" t="s">
        <v>222</v>
      </c>
      <c r="I65" s="107">
        <f>J65+K65+L65+M65+N65+O65+P65</f>
        <v>5800</v>
      </c>
      <c r="J65" s="107">
        <f t="shared" ref="J65:P65" si="11">J67+J69+J71</f>
        <v>0</v>
      </c>
      <c r="K65" s="107">
        <f t="shared" si="11"/>
        <v>0</v>
      </c>
      <c r="L65" s="107">
        <f t="shared" si="11"/>
        <v>0</v>
      </c>
      <c r="M65" s="107">
        <f t="shared" si="11"/>
        <v>0</v>
      </c>
      <c r="N65" s="107">
        <f t="shared" si="11"/>
        <v>0</v>
      </c>
      <c r="O65" s="107">
        <f t="shared" si="11"/>
        <v>0</v>
      </c>
      <c r="P65" s="108">
        <f t="shared" si="11"/>
        <v>5800</v>
      </c>
    </row>
    <row r="66" spans="1:16" ht="42.75" customHeight="1">
      <c r="A66" s="407"/>
      <c r="B66" s="409"/>
      <c r="C66" s="402"/>
      <c r="D66" s="100" t="s">
        <v>35</v>
      </c>
      <c r="E66" s="397"/>
      <c r="F66" s="430"/>
      <c r="G66" s="431"/>
      <c r="H66" s="414"/>
      <c r="I66" s="107">
        <f>J66+K66+L66+M66+N66+O66+P66</f>
        <v>2480</v>
      </c>
      <c r="J66" s="107">
        <f>J68+J70+J72</f>
        <v>0</v>
      </c>
      <c r="K66" s="107">
        <f t="shared" ref="K66:P66" si="12">K68+K70+K72</f>
        <v>0</v>
      </c>
      <c r="L66" s="107">
        <f t="shared" si="12"/>
        <v>0</v>
      </c>
      <c r="M66" s="107">
        <f t="shared" si="12"/>
        <v>0</v>
      </c>
      <c r="N66" s="107">
        <f t="shared" si="12"/>
        <v>0</v>
      </c>
      <c r="O66" s="107">
        <f t="shared" si="12"/>
        <v>0</v>
      </c>
      <c r="P66" s="108">
        <f t="shared" si="12"/>
        <v>2480</v>
      </c>
    </row>
    <row r="67" spans="1:16" ht="42" customHeight="1">
      <c r="A67" s="406" t="s">
        <v>72</v>
      </c>
      <c r="B67" s="408" t="s">
        <v>228</v>
      </c>
      <c r="C67" s="402"/>
      <c r="D67" s="242" t="s">
        <v>38</v>
      </c>
      <c r="E67" s="396" t="s">
        <v>220</v>
      </c>
      <c r="F67" s="398" t="s">
        <v>300</v>
      </c>
      <c r="G67" s="399"/>
      <c r="H67" s="404" t="s">
        <v>369</v>
      </c>
      <c r="I67" s="107">
        <f t="shared" ref="I67:I72" si="13">SUM(J67:P67)</f>
        <v>5800</v>
      </c>
      <c r="J67" s="107"/>
      <c r="K67" s="109"/>
      <c r="L67" s="107"/>
      <c r="M67" s="107"/>
      <c r="N67" s="107"/>
      <c r="O67" s="107"/>
      <c r="P67" s="108">
        <v>5800</v>
      </c>
    </row>
    <row r="68" spans="1:16" ht="36" customHeight="1">
      <c r="A68" s="406"/>
      <c r="B68" s="408"/>
      <c r="C68" s="402"/>
      <c r="D68" s="242" t="s">
        <v>35</v>
      </c>
      <c r="E68" s="397"/>
      <c r="F68" s="400"/>
      <c r="G68" s="401"/>
      <c r="H68" s="405"/>
      <c r="I68" s="107">
        <f t="shared" si="13"/>
        <v>2480</v>
      </c>
      <c r="J68" s="107"/>
      <c r="K68" s="109"/>
      <c r="L68" s="107"/>
      <c r="M68" s="107"/>
      <c r="N68" s="107"/>
      <c r="O68" s="107"/>
      <c r="P68" s="108">
        <v>2480</v>
      </c>
    </row>
    <row r="69" spans="1:16" ht="32.25" customHeight="1">
      <c r="A69" s="406" t="s">
        <v>74</v>
      </c>
      <c r="B69" s="453" t="s">
        <v>229</v>
      </c>
      <c r="C69" s="402"/>
      <c r="D69" s="242" t="s">
        <v>38</v>
      </c>
      <c r="E69" s="396" t="s">
        <v>220</v>
      </c>
      <c r="F69" s="398" t="s">
        <v>300</v>
      </c>
      <c r="G69" s="399"/>
      <c r="H69" s="404" t="s">
        <v>367</v>
      </c>
      <c r="I69" s="107">
        <f t="shared" si="13"/>
        <v>0</v>
      </c>
      <c r="J69" s="107"/>
      <c r="K69" s="109"/>
      <c r="L69" s="107"/>
      <c r="M69" s="107"/>
      <c r="N69" s="107"/>
      <c r="O69" s="107"/>
      <c r="P69" s="108"/>
    </row>
    <row r="70" spans="1:16" ht="41.25" customHeight="1">
      <c r="A70" s="406"/>
      <c r="B70" s="453"/>
      <c r="C70" s="402"/>
      <c r="D70" s="242" t="s">
        <v>35</v>
      </c>
      <c r="E70" s="397"/>
      <c r="F70" s="400"/>
      <c r="G70" s="401"/>
      <c r="H70" s="405"/>
      <c r="I70" s="107">
        <f t="shared" si="13"/>
        <v>0</v>
      </c>
      <c r="J70" s="107"/>
      <c r="K70" s="109"/>
      <c r="L70" s="107"/>
      <c r="M70" s="107"/>
      <c r="N70" s="107">
        <f>2480-2480</f>
        <v>0</v>
      </c>
      <c r="O70" s="107"/>
      <c r="P70" s="108"/>
    </row>
    <row r="71" spans="1:16" ht="31.5" customHeight="1">
      <c r="A71" s="406" t="s">
        <v>76</v>
      </c>
      <c r="B71" s="408" t="s">
        <v>230</v>
      </c>
      <c r="C71" s="402"/>
      <c r="D71" s="242" t="s">
        <v>38</v>
      </c>
      <c r="E71" s="396" t="s">
        <v>220</v>
      </c>
      <c r="F71" s="398" t="s">
        <v>300</v>
      </c>
      <c r="G71" s="399"/>
      <c r="H71" s="404" t="s">
        <v>368</v>
      </c>
      <c r="I71" s="107">
        <f t="shared" si="13"/>
        <v>0</v>
      </c>
      <c r="J71" s="107"/>
      <c r="K71" s="109"/>
      <c r="L71" s="107"/>
      <c r="M71" s="107"/>
      <c r="N71" s="107"/>
      <c r="O71" s="107">
        <v>0</v>
      </c>
      <c r="P71" s="108"/>
    </row>
    <row r="72" spans="1:16" ht="48.75" customHeight="1">
      <c r="A72" s="406"/>
      <c r="B72" s="408"/>
      <c r="C72" s="403"/>
      <c r="D72" s="242" t="s">
        <v>35</v>
      </c>
      <c r="E72" s="397"/>
      <c r="F72" s="400"/>
      <c r="G72" s="401"/>
      <c r="H72" s="405"/>
      <c r="I72" s="107">
        <f t="shared" si="13"/>
        <v>0</v>
      </c>
      <c r="J72" s="107"/>
      <c r="K72" s="107"/>
      <c r="L72" s="107"/>
      <c r="M72" s="107"/>
      <c r="N72" s="107"/>
      <c r="O72" s="107">
        <v>0</v>
      </c>
      <c r="P72" s="108"/>
    </row>
    <row r="73" spans="1:16" ht="25.5" hidden="1">
      <c r="A73" s="407" t="s">
        <v>141</v>
      </c>
      <c r="B73" s="409" t="s">
        <v>142</v>
      </c>
      <c r="C73" s="234"/>
      <c r="D73" s="100" t="s">
        <v>38</v>
      </c>
      <c r="E73" s="423"/>
      <c r="F73" s="100"/>
      <c r="G73" s="100"/>
      <c r="H73" s="423"/>
      <c r="I73" s="107">
        <f t="shared" ref="I73:I78" si="14">SUM(J73:P73)</f>
        <v>0</v>
      </c>
      <c r="J73" s="107"/>
      <c r="K73" s="107">
        <f>K75+K77</f>
        <v>0</v>
      </c>
      <c r="L73" s="107"/>
      <c r="M73" s="107"/>
      <c r="N73" s="107"/>
      <c r="O73" s="107"/>
      <c r="P73" s="108"/>
    </row>
    <row r="74" spans="1:16" ht="25.5" hidden="1">
      <c r="A74" s="407"/>
      <c r="B74" s="409"/>
      <c r="C74" s="234"/>
      <c r="D74" s="100" t="s">
        <v>35</v>
      </c>
      <c r="E74" s="438"/>
      <c r="F74" s="100"/>
      <c r="G74" s="100"/>
      <c r="H74" s="438"/>
      <c r="I74" s="107">
        <f t="shared" si="14"/>
        <v>0</v>
      </c>
      <c r="J74" s="107"/>
      <c r="K74" s="107">
        <f>K76+K78</f>
        <v>0</v>
      </c>
      <c r="L74" s="107"/>
      <c r="M74" s="107"/>
      <c r="N74" s="107"/>
      <c r="O74" s="107"/>
      <c r="P74" s="108"/>
    </row>
    <row r="75" spans="1:16" ht="27.75" hidden="1" customHeight="1">
      <c r="A75" s="406" t="s">
        <v>143</v>
      </c>
      <c r="B75" s="408" t="s">
        <v>144</v>
      </c>
      <c r="C75" s="235"/>
      <c r="D75" s="242" t="s">
        <v>38</v>
      </c>
      <c r="E75" s="242"/>
      <c r="F75" s="242"/>
      <c r="G75" s="242"/>
      <c r="H75" s="242"/>
      <c r="I75" s="239">
        <f t="shared" si="14"/>
        <v>0</v>
      </c>
      <c r="J75" s="239"/>
      <c r="K75" s="239">
        <v>0</v>
      </c>
      <c r="L75" s="239"/>
      <c r="M75" s="239"/>
      <c r="N75" s="239"/>
      <c r="O75" s="239"/>
      <c r="P75" s="240"/>
    </row>
    <row r="76" spans="1:16" ht="25.5" hidden="1">
      <c r="A76" s="406"/>
      <c r="B76" s="408"/>
      <c r="C76" s="235"/>
      <c r="D76" s="242" t="s">
        <v>35</v>
      </c>
      <c r="E76" s="242"/>
      <c r="F76" s="242"/>
      <c r="G76" s="242"/>
      <c r="H76" s="242"/>
      <c r="I76" s="239">
        <f t="shared" si="14"/>
        <v>0</v>
      </c>
      <c r="J76" s="239"/>
      <c r="K76" s="239">
        <v>0</v>
      </c>
      <c r="L76" s="239"/>
      <c r="M76" s="239"/>
      <c r="N76" s="239"/>
      <c r="O76" s="239"/>
      <c r="P76" s="240"/>
    </row>
    <row r="77" spans="1:16" ht="27" hidden="1" customHeight="1">
      <c r="A77" s="406" t="s">
        <v>145</v>
      </c>
      <c r="B77" s="408" t="s">
        <v>146</v>
      </c>
      <c r="C77" s="235"/>
      <c r="D77" s="242" t="s">
        <v>38</v>
      </c>
      <c r="E77" s="242"/>
      <c r="F77" s="242"/>
      <c r="G77" s="242"/>
      <c r="H77" s="242"/>
      <c r="I77" s="239">
        <f t="shared" si="14"/>
        <v>0</v>
      </c>
      <c r="J77" s="239"/>
      <c r="K77" s="239">
        <v>0</v>
      </c>
      <c r="L77" s="239"/>
      <c r="M77" s="239"/>
      <c r="N77" s="239"/>
      <c r="O77" s="239"/>
      <c r="P77" s="240"/>
    </row>
    <row r="78" spans="1:16" ht="25.5" hidden="1">
      <c r="A78" s="406"/>
      <c r="B78" s="408"/>
      <c r="C78" s="235"/>
      <c r="D78" s="242" t="s">
        <v>35</v>
      </c>
      <c r="E78" s="242"/>
      <c r="F78" s="242"/>
      <c r="G78" s="242"/>
      <c r="H78" s="242"/>
      <c r="I78" s="239">
        <f t="shared" si="14"/>
        <v>0</v>
      </c>
      <c r="J78" s="239"/>
      <c r="K78" s="239">
        <v>0</v>
      </c>
      <c r="L78" s="239"/>
      <c r="M78" s="239"/>
      <c r="N78" s="239"/>
      <c r="O78" s="239"/>
      <c r="P78" s="240"/>
    </row>
    <row r="79" spans="1:16" ht="26.25" customHeight="1">
      <c r="A79" s="425" t="s">
        <v>298</v>
      </c>
      <c r="B79" s="426"/>
      <c r="C79" s="426"/>
      <c r="D79" s="426"/>
      <c r="E79" s="426"/>
      <c r="F79" s="426"/>
      <c r="G79" s="426"/>
      <c r="H79" s="426"/>
      <c r="I79" s="426"/>
      <c r="J79" s="426"/>
      <c r="K79" s="426"/>
      <c r="L79" s="426"/>
      <c r="M79" s="426"/>
      <c r="N79" s="426"/>
      <c r="O79" s="426"/>
      <c r="P79" s="427"/>
    </row>
    <row r="80" spans="1:16" ht="28.5" customHeight="1">
      <c r="A80" s="412" t="s">
        <v>82</v>
      </c>
      <c r="B80" s="410" t="s">
        <v>371</v>
      </c>
      <c r="C80" s="413"/>
      <c r="D80" s="93" t="s">
        <v>38</v>
      </c>
      <c r="E80" s="396" t="s">
        <v>220</v>
      </c>
      <c r="F80" s="419"/>
      <c r="G80" s="420"/>
      <c r="H80" s="413" t="s">
        <v>222</v>
      </c>
      <c r="I80" s="104">
        <f>SUM(J80:P80)</f>
        <v>6370</v>
      </c>
      <c r="J80" s="104">
        <v>0</v>
      </c>
      <c r="K80" s="104">
        <f t="shared" ref="K80:P80" si="15">K82+K91</f>
        <v>0</v>
      </c>
      <c r="L80" s="104">
        <f t="shared" si="15"/>
        <v>0</v>
      </c>
      <c r="M80" s="104">
        <f t="shared" si="15"/>
        <v>0</v>
      </c>
      <c r="N80" s="104">
        <f t="shared" si="15"/>
        <v>0</v>
      </c>
      <c r="O80" s="104">
        <f t="shared" si="15"/>
        <v>0</v>
      </c>
      <c r="P80" s="105">
        <f t="shared" si="15"/>
        <v>6370</v>
      </c>
    </row>
    <row r="81" spans="1:16" ht="49.5" customHeight="1">
      <c r="A81" s="412"/>
      <c r="B81" s="411"/>
      <c r="C81" s="414"/>
      <c r="D81" s="93" t="s">
        <v>35</v>
      </c>
      <c r="E81" s="397"/>
      <c r="F81" s="421"/>
      <c r="G81" s="422"/>
      <c r="H81" s="418"/>
      <c r="I81" s="209">
        <f>SUM(J81:P81)</f>
        <v>76994.899999999994</v>
      </c>
      <c r="J81" s="104">
        <f>J83+J92+J116</f>
        <v>15784</v>
      </c>
      <c r="K81" s="209">
        <f t="shared" ref="K81:P81" si="16">K83+K92+K116</f>
        <v>1546.6999999999998</v>
      </c>
      <c r="L81" s="209">
        <f>L83+L92+L116</f>
        <v>8598</v>
      </c>
      <c r="M81" s="321">
        <f>M83+M92+M116</f>
        <v>15828.2</v>
      </c>
      <c r="N81" s="104">
        <f t="shared" si="16"/>
        <v>26936</v>
      </c>
      <c r="O81" s="104">
        <f t="shared" si="16"/>
        <v>3812</v>
      </c>
      <c r="P81" s="105">
        <f t="shared" si="16"/>
        <v>4490</v>
      </c>
    </row>
    <row r="82" spans="1:16" ht="29.25" customHeight="1">
      <c r="A82" s="407" t="s">
        <v>131</v>
      </c>
      <c r="B82" s="478" t="s">
        <v>148</v>
      </c>
      <c r="C82" s="415"/>
      <c r="D82" s="101" t="s">
        <v>38</v>
      </c>
      <c r="E82" s="396" t="s">
        <v>220</v>
      </c>
      <c r="F82" s="398"/>
      <c r="G82" s="399"/>
      <c r="H82" s="418"/>
      <c r="I82" s="209">
        <f>SUM(J82:P82)</f>
        <v>0</v>
      </c>
      <c r="J82" s="107">
        <f t="shared" ref="J82:P82" si="17">J84+J86+J88</f>
        <v>0</v>
      </c>
      <c r="K82" s="107">
        <f t="shared" si="17"/>
        <v>0</v>
      </c>
      <c r="L82" s="107">
        <f>L84+L86+L88</f>
        <v>0</v>
      </c>
      <c r="M82" s="107">
        <f t="shared" si="17"/>
        <v>0</v>
      </c>
      <c r="N82" s="107">
        <f t="shared" si="17"/>
        <v>0</v>
      </c>
      <c r="O82" s="107">
        <f t="shared" si="17"/>
        <v>0</v>
      </c>
      <c r="P82" s="108">
        <f t="shared" si="17"/>
        <v>0</v>
      </c>
    </row>
    <row r="83" spans="1:16" ht="54" customHeight="1">
      <c r="A83" s="407"/>
      <c r="B83" s="479"/>
      <c r="C83" s="416"/>
      <c r="D83" s="101" t="s">
        <v>35</v>
      </c>
      <c r="E83" s="397"/>
      <c r="F83" s="400"/>
      <c r="G83" s="401"/>
      <c r="H83" s="414"/>
      <c r="I83" s="209">
        <f t="shared" ref="I83:I135" si="18">SUM(J83:P83)</f>
        <v>28538.5</v>
      </c>
      <c r="J83" s="107">
        <f t="shared" ref="J83:P83" si="19">J85+J87+J89+J90</f>
        <v>0</v>
      </c>
      <c r="K83" s="107">
        <f t="shared" si="19"/>
        <v>0</v>
      </c>
      <c r="L83" s="107">
        <f t="shared" si="19"/>
        <v>0</v>
      </c>
      <c r="M83" s="211">
        <f t="shared" si="19"/>
        <v>1602.5</v>
      </c>
      <c r="N83" s="107">
        <f t="shared" si="19"/>
        <v>26936</v>
      </c>
      <c r="O83" s="107">
        <f t="shared" si="19"/>
        <v>0</v>
      </c>
      <c r="P83" s="108">
        <f t="shared" si="19"/>
        <v>0</v>
      </c>
    </row>
    <row r="84" spans="1:16" ht="37.5" customHeight="1">
      <c r="A84" s="406" t="s">
        <v>277</v>
      </c>
      <c r="B84" s="450" t="s">
        <v>373</v>
      </c>
      <c r="C84" s="404" t="s">
        <v>247</v>
      </c>
      <c r="D84" s="242" t="s">
        <v>38</v>
      </c>
      <c r="E84" s="396" t="s">
        <v>220</v>
      </c>
      <c r="F84" s="398" t="s">
        <v>300</v>
      </c>
      <c r="G84" s="399"/>
      <c r="H84" s="404" t="s">
        <v>263</v>
      </c>
      <c r="I84" s="209">
        <f t="shared" si="18"/>
        <v>0</v>
      </c>
      <c r="J84" s="111"/>
      <c r="K84" s="111"/>
      <c r="L84" s="239"/>
      <c r="M84" s="239"/>
      <c r="N84" s="111"/>
      <c r="O84" s="111"/>
      <c r="P84" s="112"/>
    </row>
    <row r="85" spans="1:16" ht="45" customHeight="1">
      <c r="A85" s="406"/>
      <c r="B85" s="450"/>
      <c r="C85" s="405"/>
      <c r="D85" s="242" t="s">
        <v>35</v>
      </c>
      <c r="E85" s="397"/>
      <c r="F85" s="400"/>
      <c r="G85" s="401"/>
      <c r="H85" s="405"/>
      <c r="I85" s="209">
        <f t="shared" si="18"/>
        <v>26936</v>
      </c>
      <c r="J85" s="111"/>
      <c r="K85" s="111"/>
      <c r="L85" s="239">
        <v>0</v>
      </c>
      <c r="M85" s="239"/>
      <c r="N85" s="318">
        <f>15480+11456</f>
        <v>26936</v>
      </c>
      <c r="O85" s="111"/>
      <c r="P85" s="112"/>
    </row>
    <row r="86" spans="1:16" ht="26.25" customHeight="1">
      <c r="A86" s="406" t="s">
        <v>132</v>
      </c>
      <c r="B86" s="450" t="s">
        <v>372</v>
      </c>
      <c r="C86" s="404" t="s">
        <v>248</v>
      </c>
      <c r="D86" s="242" t="s">
        <v>38</v>
      </c>
      <c r="E86" s="396" t="s">
        <v>220</v>
      </c>
      <c r="F86" s="398" t="s">
        <v>300</v>
      </c>
      <c r="G86" s="399"/>
      <c r="H86" s="404" t="s">
        <v>263</v>
      </c>
      <c r="I86" s="209">
        <f t="shared" si="18"/>
        <v>0</v>
      </c>
      <c r="J86" s="239"/>
      <c r="K86" s="239"/>
      <c r="L86" s="239"/>
      <c r="M86" s="239"/>
      <c r="N86" s="239"/>
      <c r="O86" s="239"/>
      <c r="P86" s="240"/>
    </row>
    <row r="87" spans="1:16" ht="50.25" customHeight="1">
      <c r="A87" s="406"/>
      <c r="B87" s="450"/>
      <c r="C87" s="405"/>
      <c r="D87" s="242" t="s">
        <v>35</v>
      </c>
      <c r="E87" s="397"/>
      <c r="F87" s="400"/>
      <c r="G87" s="401"/>
      <c r="H87" s="405"/>
      <c r="I87" s="209">
        <f t="shared" si="18"/>
        <v>0</v>
      </c>
      <c r="J87" s="239"/>
      <c r="K87" s="239"/>
      <c r="L87" s="239">
        <v>0</v>
      </c>
      <c r="M87" s="239"/>
      <c r="N87" s="239"/>
      <c r="O87" s="239"/>
      <c r="P87" s="240"/>
    </row>
    <row r="88" spans="1:16" ht="30" customHeight="1">
      <c r="A88" s="406" t="s">
        <v>133</v>
      </c>
      <c r="B88" s="450" t="s">
        <v>415</v>
      </c>
      <c r="C88" s="404" t="s">
        <v>249</v>
      </c>
      <c r="D88" s="242" t="s">
        <v>38</v>
      </c>
      <c r="E88" s="396" t="s">
        <v>220</v>
      </c>
      <c r="F88" s="398" t="s">
        <v>300</v>
      </c>
      <c r="G88" s="399"/>
      <c r="H88" s="404" t="s">
        <v>264</v>
      </c>
      <c r="I88" s="209">
        <f t="shared" si="18"/>
        <v>0</v>
      </c>
      <c r="J88" s="239"/>
      <c r="K88" s="239"/>
      <c r="L88" s="239"/>
      <c r="M88" s="239"/>
      <c r="N88" s="239"/>
      <c r="O88" s="239"/>
      <c r="P88" s="240"/>
    </row>
    <row r="89" spans="1:16" ht="51.75" customHeight="1">
      <c r="A89" s="406"/>
      <c r="B89" s="450"/>
      <c r="C89" s="405"/>
      <c r="D89" s="242" t="s">
        <v>35</v>
      </c>
      <c r="E89" s="397"/>
      <c r="F89" s="400"/>
      <c r="G89" s="401"/>
      <c r="H89" s="405"/>
      <c r="I89" s="209">
        <f t="shared" si="18"/>
        <v>0</v>
      </c>
      <c r="J89" s="239"/>
      <c r="K89" s="239"/>
      <c r="L89" s="239"/>
      <c r="M89" s="210">
        <f>1681.4-1461.7-219.7</f>
        <v>0</v>
      </c>
      <c r="N89" s="239">
        <f>1440-1440</f>
        <v>0</v>
      </c>
      <c r="O89" s="239"/>
      <c r="P89" s="240"/>
    </row>
    <row r="90" spans="1:16" ht="85.5" customHeight="1">
      <c r="A90" s="231" t="s">
        <v>134</v>
      </c>
      <c r="B90" s="322" t="s">
        <v>231</v>
      </c>
      <c r="C90" s="238" t="s">
        <v>250</v>
      </c>
      <c r="D90" s="242" t="s">
        <v>35</v>
      </c>
      <c r="E90" s="141" t="s">
        <v>220</v>
      </c>
      <c r="F90" s="433" t="s">
        <v>300</v>
      </c>
      <c r="G90" s="434"/>
      <c r="H90" s="242" t="s">
        <v>264</v>
      </c>
      <c r="I90" s="209">
        <f t="shared" si="18"/>
        <v>1602.5</v>
      </c>
      <c r="J90" s="239"/>
      <c r="K90" s="239"/>
      <c r="L90" s="239"/>
      <c r="M90" s="210">
        <v>1602.5</v>
      </c>
      <c r="N90" s="239"/>
      <c r="O90" s="239"/>
      <c r="P90" s="240"/>
    </row>
    <row r="91" spans="1:16" ht="26.25" customHeight="1">
      <c r="A91" s="406" t="s">
        <v>136</v>
      </c>
      <c r="B91" s="485" t="s">
        <v>154</v>
      </c>
      <c r="C91" s="415"/>
      <c r="D91" s="101" t="s">
        <v>38</v>
      </c>
      <c r="E91" s="415"/>
      <c r="F91" s="445"/>
      <c r="G91" s="446"/>
      <c r="H91" s="413" t="s">
        <v>222</v>
      </c>
      <c r="I91" s="209">
        <f t="shared" si="18"/>
        <v>6370</v>
      </c>
      <c r="J91" s="107">
        <f t="shared" ref="J91:P91" si="20">J93+J95+J98+J100+J102+J106+J108+J104</f>
        <v>0</v>
      </c>
      <c r="K91" s="107">
        <f t="shared" si="20"/>
        <v>0</v>
      </c>
      <c r="L91" s="107">
        <f t="shared" si="20"/>
        <v>0</v>
      </c>
      <c r="M91" s="107">
        <f t="shared" si="20"/>
        <v>0</v>
      </c>
      <c r="N91" s="107">
        <f t="shared" si="20"/>
        <v>0</v>
      </c>
      <c r="O91" s="107">
        <f t="shared" si="20"/>
        <v>0</v>
      </c>
      <c r="P91" s="108">
        <f t="shared" si="20"/>
        <v>6370</v>
      </c>
    </row>
    <row r="92" spans="1:16" ht="33" customHeight="1">
      <c r="A92" s="406"/>
      <c r="B92" s="486"/>
      <c r="C92" s="416"/>
      <c r="D92" s="101" t="s">
        <v>35</v>
      </c>
      <c r="E92" s="416"/>
      <c r="F92" s="447"/>
      <c r="G92" s="448"/>
      <c r="H92" s="414"/>
      <c r="I92" s="209">
        <f t="shared" si="18"/>
        <v>23652.400000000001</v>
      </c>
      <c r="J92" s="107">
        <f>SUM(J93:J115)</f>
        <v>6189</v>
      </c>
      <c r="K92" s="211">
        <f>K94+K96+K97+K99+K101+K103+K105+K107+K109+K110+K111+K112+K113+K114+K115+K116</f>
        <v>1546.6999999999998</v>
      </c>
      <c r="L92" s="211">
        <f t="shared" ref="L92:P92" si="21">L94+L96+L97+L99+L101+L103+L105+L107+L109+L110+L111+L112+L113+L114+L115</f>
        <v>4621.2</v>
      </c>
      <c r="M92" s="211">
        <f>M94+M96+M97+M99+M101+M103+M105+M107+M109+M110+M111+M112+M113+M114+M115</f>
        <v>4753.5</v>
      </c>
      <c r="N92" s="107">
        <f t="shared" si="21"/>
        <v>0</v>
      </c>
      <c r="O92" s="107">
        <f t="shared" si="21"/>
        <v>3812</v>
      </c>
      <c r="P92" s="108">
        <f t="shared" si="21"/>
        <v>2730</v>
      </c>
    </row>
    <row r="93" spans="1:16" ht="30" customHeight="1">
      <c r="A93" s="406" t="s">
        <v>138</v>
      </c>
      <c r="B93" s="450" t="s">
        <v>232</v>
      </c>
      <c r="C93" s="404" t="s">
        <v>251</v>
      </c>
      <c r="D93" s="242" t="s">
        <v>38</v>
      </c>
      <c r="E93" s="396" t="s">
        <v>220</v>
      </c>
      <c r="F93" s="398" t="s">
        <v>300</v>
      </c>
      <c r="G93" s="399"/>
      <c r="H93" s="404" t="s">
        <v>264</v>
      </c>
      <c r="I93" s="209">
        <f t="shared" si="18"/>
        <v>0</v>
      </c>
      <c r="J93" s="239"/>
      <c r="K93" s="239"/>
      <c r="L93" s="239"/>
      <c r="M93" s="239"/>
      <c r="N93" s="239"/>
      <c r="O93" s="239"/>
      <c r="P93" s="112"/>
    </row>
    <row r="94" spans="1:16" ht="51.75" customHeight="1">
      <c r="A94" s="406"/>
      <c r="B94" s="450"/>
      <c r="C94" s="405"/>
      <c r="D94" s="242" t="s">
        <v>35</v>
      </c>
      <c r="E94" s="397"/>
      <c r="F94" s="400"/>
      <c r="G94" s="401"/>
      <c r="H94" s="405"/>
      <c r="I94" s="209">
        <f t="shared" si="18"/>
        <v>1185</v>
      </c>
      <c r="J94" s="239"/>
      <c r="K94" s="239"/>
      <c r="L94" s="239"/>
      <c r="M94" s="239"/>
      <c r="N94" s="239"/>
      <c r="O94" s="239">
        <v>1185</v>
      </c>
      <c r="P94" s="112"/>
    </row>
    <row r="95" spans="1:16" ht="47.25" customHeight="1">
      <c r="A95" s="406" t="s">
        <v>139</v>
      </c>
      <c r="B95" s="450" t="s">
        <v>375</v>
      </c>
      <c r="C95" s="404" t="s">
        <v>252</v>
      </c>
      <c r="D95" s="242" t="s">
        <v>38</v>
      </c>
      <c r="E95" s="396" t="s">
        <v>220</v>
      </c>
      <c r="F95" s="404">
        <v>7920</v>
      </c>
      <c r="G95" s="404">
        <v>7920</v>
      </c>
      <c r="H95" s="404" t="s">
        <v>374</v>
      </c>
      <c r="I95" s="209">
        <f t="shared" si="18"/>
        <v>0</v>
      </c>
      <c r="J95" s="239">
        <v>0</v>
      </c>
      <c r="K95" s="239"/>
      <c r="L95" s="239"/>
      <c r="M95" s="239"/>
      <c r="N95" s="239"/>
      <c r="O95" s="239"/>
      <c r="P95" s="112"/>
    </row>
    <row r="96" spans="1:16" ht="67.5" customHeight="1">
      <c r="A96" s="406"/>
      <c r="B96" s="450"/>
      <c r="C96" s="405"/>
      <c r="D96" s="242" t="s">
        <v>35</v>
      </c>
      <c r="E96" s="397"/>
      <c r="F96" s="405"/>
      <c r="G96" s="405"/>
      <c r="H96" s="405"/>
      <c r="I96" s="209">
        <f t="shared" si="18"/>
        <v>6467.9</v>
      </c>
      <c r="J96" s="189">
        <f>695-695</f>
        <v>0</v>
      </c>
      <c r="K96" s="210">
        <f>6100+1100-695-2000+1100-4358.3</f>
        <v>1246.6999999999998</v>
      </c>
      <c r="L96" s="210">
        <f>5605-983.8</f>
        <v>4621.2</v>
      </c>
      <c r="M96" s="210">
        <v>600</v>
      </c>
      <c r="N96" s="239"/>
      <c r="O96" s="239"/>
      <c r="P96" s="112"/>
    </row>
    <row r="97" spans="1:16" ht="69.75" customHeight="1">
      <c r="A97" s="231" t="s">
        <v>278</v>
      </c>
      <c r="B97" s="325" t="s">
        <v>417</v>
      </c>
      <c r="C97" s="238" t="s">
        <v>252</v>
      </c>
      <c r="D97" s="242" t="s">
        <v>35</v>
      </c>
      <c r="E97" s="141" t="s">
        <v>220</v>
      </c>
      <c r="F97" s="433" t="s">
        <v>300</v>
      </c>
      <c r="G97" s="434"/>
      <c r="H97" s="242" t="s">
        <v>264</v>
      </c>
      <c r="I97" s="209">
        <f t="shared" si="18"/>
        <v>1291.3</v>
      </c>
      <c r="J97" s="239"/>
      <c r="K97" s="239"/>
      <c r="L97" s="239"/>
      <c r="M97" s="307">
        <f>1785.1-493.8</f>
        <v>1291.3</v>
      </c>
      <c r="N97" s="239"/>
      <c r="O97" s="111"/>
      <c r="P97" s="112"/>
    </row>
    <row r="98" spans="1:16" ht="29.25" customHeight="1">
      <c r="A98" s="476" t="s">
        <v>140</v>
      </c>
      <c r="B98" s="450" t="s">
        <v>233</v>
      </c>
      <c r="C98" s="404" t="s">
        <v>253</v>
      </c>
      <c r="D98" s="242" t="s">
        <v>38</v>
      </c>
      <c r="E98" s="396" t="s">
        <v>220</v>
      </c>
      <c r="F98" s="398" t="s">
        <v>300</v>
      </c>
      <c r="G98" s="399"/>
      <c r="H98" s="404" t="s">
        <v>264</v>
      </c>
      <c r="I98" s="209">
        <f t="shared" si="18"/>
        <v>0</v>
      </c>
      <c r="J98" s="239"/>
      <c r="K98" s="239"/>
      <c r="L98" s="239"/>
      <c r="M98" s="239"/>
      <c r="N98" s="239"/>
      <c r="O98" s="111"/>
      <c r="P98" s="112"/>
    </row>
    <row r="99" spans="1:16" ht="54.75" customHeight="1">
      <c r="A99" s="477"/>
      <c r="B99" s="450"/>
      <c r="C99" s="405"/>
      <c r="D99" s="242" t="s">
        <v>35</v>
      </c>
      <c r="E99" s="397"/>
      <c r="F99" s="400"/>
      <c r="G99" s="401"/>
      <c r="H99" s="405"/>
      <c r="I99" s="209">
        <f t="shared" si="18"/>
        <v>1627</v>
      </c>
      <c r="J99" s="239"/>
      <c r="K99" s="239"/>
      <c r="L99" s="239"/>
      <c r="M99" s="239"/>
      <c r="N99" s="239">
        <f>1740-1740</f>
        <v>0</v>
      </c>
      <c r="O99" s="316">
        <f>1627</f>
        <v>1627</v>
      </c>
      <c r="P99" s="112"/>
    </row>
    <row r="100" spans="1:16" ht="26.25" customHeight="1">
      <c r="A100" s="476" t="s">
        <v>279</v>
      </c>
      <c r="B100" s="450" t="s">
        <v>376</v>
      </c>
      <c r="C100" s="404" t="s">
        <v>254</v>
      </c>
      <c r="D100" s="242" t="s">
        <v>38</v>
      </c>
      <c r="E100" s="396" t="s">
        <v>220</v>
      </c>
      <c r="F100" s="398" t="s">
        <v>300</v>
      </c>
      <c r="G100" s="399"/>
      <c r="H100" s="404" t="s">
        <v>264</v>
      </c>
      <c r="I100" s="209">
        <f t="shared" si="18"/>
        <v>0</v>
      </c>
      <c r="J100" s="239"/>
      <c r="K100" s="239"/>
      <c r="L100" s="239"/>
      <c r="M100" s="239"/>
      <c r="N100" s="239"/>
      <c r="O100" s="111"/>
      <c r="P100" s="112"/>
    </row>
    <row r="101" spans="1:16" ht="47.25" customHeight="1">
      <c r="A101" s="477"/>
      <c r="B101" s="450"/>
      <c r="C101" s="405"/>
      <c r="D101" s="242" t="s">
        <v>35</v>
      </c>
      <c r="E101" s="397"/>
      <c r="F101" s="400"/>
      <c r="G101" s="401"/>
      <c r="H101" s="405"/>
      <c r="I101" s="209">
        <f t="shared" si="18"/>
        <v>0</v>
      </c>
      <c r="J101" s="239"/>
      <c r="K101" s="239"/>
      <c r="L101" s="239"/>
      <c r="M101" s="239"/>
      <c r="N101" s="239">
        <f>3090-3090</f>
        <v>0</v>
      </c>
      <c r="O101" s="111"/>
      <c r="P101" s="112"/>
    </row>
    <row r="102" spans="1:16" ht="33.75" customHeight="1">
      <c r="A102" s="476" t="s">
        <v>280</v>
      </c>
      <c r="B102" s="450" t="s">
        <v>377</v>
      </c>
      <c r="C102" s="404" t="s">
        <v>255</v>
      </c>
      <c r="D102" s="242" t="s">
        <v>38</v>
      </c>
      <c r="E102" s="396" t="s">
        <v>220</v>
      </c>
      <c r="F102" s="398" t="s">
        <v>300</v>
      </c>
      <c r="G102" s="399"/>
      <c r="H102" s="404" t="s">
        <v>264</v>
      </c>
      <c r="I102" s="209">
        <f t="shared" si="18"/>
        <v>0</v>
      </c>
      <c r="J102" s="239"/>
      <c r="K102" s="239"/>
      <c r="L102" s="239"/>
      <c r="M102" s="239"/>
      <c r="N102" s="239"/>
      <c r="O102" s="239"/>
      <c r="P102" s="240"/>
    </row>
    <row r="103" spans="1:16" ht="50.25" customHeight="1">
      <c r="A103" s="477"/>
      <c r="B103" s="450"/>
      <c r="C103" s="405"/>
      <c r="D103" s="242" t="s">
        <v>35</v>
      </c>
      <c r="E103" s="397"/>
      <c r="F103" s="400"/>
      <c r="G103" s="401"/>
      <c r="H103" s="405"/>
      <c r="I103" s="209">
        <f t="shared" si="18"/>
        <v>0</v>
      </c>
      <c r="J103" s="239"/>
      <c r="K103" s="239"/>
      <c r="L103" s="239"/>
      <c r="M103" s="239"/>
      <c r="N103" s="239"/>
      <c r="O103" s="239">
        <f>870-870</f>
        <v>0</v>
      </c>
      <c r="P103" s="240"/>
    </row>
    <row r="104" spans="1:16" ht="37.5" customHeight="1">
      <c r="A104" s="476" t="s">
        <v>281</v>
      </c>
      <c r="B104" s="450" t="s">
        <v>234</v>
      </c>
      <c r="C104" s="404" t="s">
        <v>256</v>
      </c>
      <c r="D104" s="242" t="s">
        <v>38</v>
      </c>
      <c r="E104" s="396" t="s">
        <v>220</v>
      </c>
      <c r="F104" s="398" t="s">
        <v>300</v>
      </c>
      <c r="G104" s="399"/>
      <c r="H104" s="404" t="s">
        <v>264</v>
      </c>
      <c r="I104" s="209">
        <f t="shared" si="18"/>
        <v>0</v>
      </c>
      <c r="J104" s="239"/>
      <c r="K104" s="239"/>
      <c r="L104" s="239"/>
      <c r="M104" s="239"/>
      <c r="N104" s="239"/>
      <c r="O104" s="239"/>
      <c r="P104" s="240"/>
    </row>
    <row r="105" spans="1:16" ht="42.75" customHeight="1">
      <c r="A105" s="477"/>
      <c r="B105" s="450"/>
      <c r="C105" s="405"/>
      <c r="D105" s="242" t="s">
        <v>35</v>
      </c>
      <c r="E105" s="397"/>
      <c r="F105" s="400"/>
      <c r="G105" s="401"/>
      <c r="H105" s="405"/>
      <c r="I105" s="209">
        <f t="shared" si="18"/>
        <v>0</v>
      </c>
      <c r="J105" s="239"/>
      <c r="K105" s="239"/>
      <c r="L105" s="239"/>
      <c r="M105" s="239">
        <v>0</v>
      </c>
      <c r="N105" s="239"/>
      <c r="O105" s="239"/>
      <c r="P105" s="240"/>
    </row>
    <row r="106" spans="1:16" ht="34.5" customHeight="1">
      <c r="A106" s="476" t="s">
        <v>282</v>
      </c>
      <c r="B106" s="450" t="s">
        <v>235</v>
      </c>
      <c r="C106" s="404" t="s">
        <v>257</v>
      </c>
      <c r="D106" s="242" t="s">
        <v>38</v>
      </c>
      <c r="E106" s="396" t="s">
        <v>220</v>
      </c>
      <c r="F106" s="398" t="s">
        <v>300</v>
      </c>
      <c r="G106" s="399"/>
      <c r="H106" s="404" t="s">
        <v>264</v>
      </c>
      <c r="I106" s="209">
        <f t="shared" si="18"/>
        <v>6370</v>
      </c>
      <c r="J106" s="239"/>
      <c r="K106" s="239"/>
      <c r="L106" s="239"/>
      <c r="M106" s="239"/>
      <c r="N106" s="239"/>
      <c r="O106" s="239"/>
      <c r="P106" s="240">
        <v>6370</v>
      </c>
    </row>
    <row r="107" spans="1:16" ht="41.25" customHeight="1">
      <c r="A107" s="477"/>
      <c r="B107" s="450"/>
      <c r="C107" s="405"/>
      <c r="D107" s="242" t="s">
        <v>35</v>
      </c>
      <c r="E107" s="397"/>
      <c r="F107" s="400"/>
      <c r="G107" s="401"/>
      <c r="H107" s="405"/>
      <c r="I107" s="209">
        <f t="shared" si="18"/>
        <v>2730</v>
      </c>
      <c r="J107" s="239"/>
      <c r="K107" s="239"/>
      <c r="L107" s="239"/>
      <c r="M107" s="239"/>
      <c r="N107" s="239"/>
      <c r="O107" s="239"/>
      <c r="P107" s="240">
        <v>2730</v>
      </c>
    </row>
    <row r="108" spans="1:16" ht="42" customHeight="1">
      <c r="A108" s="476" t="s">
        <v>283</v>
      </c>
      <c r="B108" s="450" t="s">
        <v>236</v>
      </c>
      <c r="C108" s="404" t="s">
        <v>250</v>
      </c>
      <c r="D108" s="242" t="s">
        <v>38</v>
      </c>
      <c r="E108" s="396" t="s">
        <v>220</v>
      </c>
      <c r="F108" s="398" t="s">
        <v>300</v>
      </c>
      <c r="G108" s="399"/>
      <c r="H108" s="404" t="s">
        <v>264</v>
      </c>
      <c r="I108" s="209">
        <f t="shared" si="18"/>
        <v>0</v>
      </c>
      <c r="J108" s="239"/>
      <c r="K108" s="239"/>
      <c r="L108" s="239"/>
      <c r="M108" s="239"/>
      <c r="N108" s="239"/>
      <c r="O108" s="239"/>
      <c r="P108" s="240"/>
    </row>
    <row r="109" spans="1:16" ht="45.75" customHeight="1">
      <c r="A109" s="477"/>
      <c r="B109" s="450"/>
      <c r="C109" s="405"/>
      <c r="D109" s="242" t="s">
        <v>35</v>
      </c>
      <c r="E109" s="397"/>
      <c r="F109" s="400"/>
      <c r="G109" s="401"/>
      <c r="H109" s="405"/>
      <c r="I109" s="209">
        <f t="shared" si="18"/>
        <v>0</v>
      </c>
      <c r="J109" s="239"/>
      <c r="K109" s="239"/>
      <c r="L109" s="239"/>
      <c r="M109" s="239"/>
      <c r="N109" s="239">
        <f>300-300</f>
        <v>0</v>
      </c>
      <c r="O109" s="111"/>
      <c r="P109" s="112"/>
    </row>
    <row r="110" spans="1:16" ht="86.25" customHeight="1">
      <c r="A110" s="231" t="s">
        <v>284</v>
      </c>
      <c r="B110" s="290" t="s">
        <v>378</v>
      </c>
      <c r="C110" s="238" t="s">
        <v>258</v>
      </c>
      <c r="D110" s="242" t="s">
        <v>35</v>
      </c>
      <c r="E110" s="141" t="s">
        <v>220</v>
      </c>
      <c r="F110" s="242">
        <v>10292</v>
      </c>
      <c r="G110" s="242">
        <v>10292</v>
      </c>
      <c r="H110" s="242" t="s">
        <v>267</v>
      </c>
      <c r="I110" s="209">
        <f t="shared" si="18"/>
        <v>3309</v>
      </c>
      <c r="J110" s="239">
        <f>155+1653+695+347+302+47+110</f>
        <v>3309</v>
      </c>
      <c r="K110" s="239">
        <f>400-400</f>
        <v>0</v>
      </c>
      <c r="L110" s="239"/>
      <c r="M110" s="239"/>
      <c r="N110" s="239"/>
      <c r="O110" s="111"/>
      <c r="P110" s="112"/>
    </row>
    <row r="111" spans="1:16" ht="99" customHeight="1">
      <c r="A111" s="231" t="s">
        <v>285</v>
      </c>
      <c r="B111" s="290" t="s">
        <v>379</v>
      </c>
      <c r="C111" s="238" t="s">
        <v>252</v>
      </c>
      <c r="D111" s="242" t="s">
        <v>35</v>
      </c>
      <c r="E111" s="141" t="s">
        <v>220</v>
      </c>
      <c r="F111" s="242">
        <v>6277.4</v>
      </c>
      <c r="G111" s="242">
        <v>6277.4</v>
      </c>
      <c r="H111" s="242" t="s">
        <v>268</v>
      </c>
      <c r="I111" s="209">
        <f t="shared" si="18"/>
        <v>2434</v>
      </c>
      <c r="J111" s="189">
        <f>2406.6+244.4+130-347</f>
        <v>2434</v>
      </c>
      <c r="K111" s="239">
        <f>1368-700-668</f>
        <v>0</v>
      </c>
      <c r="L111" s="239"/>
      <c r="M111" s="239"/>
      <c r="N111" s="239"/>
      <c r="O111" s="111"/>
      <c r="P111" s="112"/>
    </row>
    <row r="112" spans="1:16" ht="147" customHeight="1">
      <c r="A112" s="231" t="s">
        <v>286</v>
      </c>
      <c r="B112" s="290" t="s">
        <v>380</v>
      </c>
      <c r="C112" s="238" t="s">
        <v>252</v>
      </c>
      <c r="D112" s="242" t="s">
        <v>35</v>
      </c>
      <c r="E112" s="141" t="s">
        <v>220</v>
      </c>
      <c r="F112" s="242">
        <v>3048</v>
      </c>
      <c r="G112" s="242">
        <v>3048</v>
      </c>
      <c r="H112" s="242" t="s">
        <v>269</v>
      </c>
      <c r="I112" s="209">
        <f t="shared" si="18"/>
        <v>426</v>
      </c>
      <c r="J112" s="239">
        <f>317-210+210+100+203-302</f>
        <v>318</v>
      </c>
      <c r="K112" s="239">
        <v>108</v>
      </c>
      <c r="L112" s="239"/>
      <c r="M112" s="239"/>
      <c r="N112" s="239"/>
      <c r="O112" s="111"/>
      <c r="P112" s="112"/>
    </row>
    <row r="113" spans="1:16" ht="79.5" customHeight="1">
      <c r="A113" s="231" t="s">
        <v>287</v>
      </c>
      <c r="B113" s="325" t="s">
        <v>237</v>
      </c>
      <c r="C113" s="238" t="s">
        <v>259</v>
      </c>
      <c r="D113" s="242" t="s">
        <v>35</v>
      </c>
      <c r="E113" s="141" t="s">
        <v>220</v>
      </c>
      <c r="F113" s="242">
        <v>6276</v>
      </c>
      <c r="G113" s="242">
        <v>6276</v>
      </c>
      <c r="H113" s="242" t="s">
        <v>270</v>
      </c>
      <c r="I113" s="209">
        <f t="shared" si="18"/>
        <v>1891</v>
      </c>
      <c r="J113" s="239">
        <f>55+1</f>
        <v>56</v>
      </c>
      <c r="K113" s="239"/>
      <c r="L113" s="239">
        <v>0</v>
      </c>
      <c r="M113" s="239">
        <f>1000-165</f>
        <v>835</v>
      </c>
      <c r="N113" s="239">
        <f>1000-1000</f>
        <v>0</v>
      </c>
      <c r="O113" s="239">
        <v>1000</v>
      </c>
      <c r="P113" s="112"/>
    </row>
    <row r="114" spans="1:16" ht="95.25" customHeight="1">
      <c r="A114" s="231" t="s">
        <v>288</v>
      </c>
      <c r="B114" s="269" t="s">
        <v>293</v>
      </c>
      <c r="C114" s="238" t="s">
        <v>260</v>
      </c>
      <c r="D114" s="242" t="s">
        <v>35</v>
      </c>
      <c r="E114" s="141" t="s">
        <v>220</v>
      </c>
      <c r="F114" s="242">
        <v>1300</v>
      </c>
      <c r="G114" s="242">
        <v>1300</v>
      </c>
      <c r="H114" s="242" t="s">
        <v>271</v>
      </c>
      <c r="I114" s="209">
        <f t="shared" si="18"/>
        <v>264</v>
      </c>
      <c r="J114" s="239">
        <f>100+82-110</f>
        <v>72</v>
      </c>
      <c r="K114" s="239">
        <v>192</v>
      </c>
      <c r="L114" s="239"/>
      <c r="M114" s="239"/>
      <c r="N114" s="239"/>
      <c r="O114" s="111"/>
      <c r="P114" s="112"/>
    </row>
    <row r="115" spans="1:16" ht="63.75" customHeight="1">
      <c r="A115" s="231" t="s">
        <v>289</v>
      </c>
      <c r="B115" s="325" t="s">
        <v>408</v>
      </c>
      <c r="C115" s="238" t="s">
        <v>252</v>
      </c>
      <c r="D115" s="242" t="s">
        <v>35</v>
      </c>
      <c r="E115" s="141" t="s">
        <v>220</v>
      </c>
      <c r="F115" s="433" t="s">
        <v>300</v>
      </c>
      <c r="G115" s="434"/>
      <c r="H115" s="242" t="s">
        <v>264</v>
      </c>
      <c r="I115" s="209">
        <f t="shared" si="18"/>
        <v>2027.1999999999998</v>
      </c>
      <c r="J115" s="239"/>
      <c r="K115" s="239"/>
      <c r="L115" s="239">
        <v>0</v>
      </c>
      <c r="M115" s="210">
        <f>2392.7-365.5</f>
        <v>2027.1999999999998</v>
      </c>
      <c r="N115" s="239"/>
      <c r="O115" s="111"/>
      <c r="P115" s="112"/>
    </row>
    <row r="116" spans="1:16" ht="30.75" customHeight="1">
      <c r="A116" s="231" t="s">
        <v>290</v>
      </c>
      <c r="B116" s="102" t="s">
        <v>162</v>
      </c>
      <c r="C116" s="102"/>
      <c r="D116" s="101" t="s">
        <v>35</v>
      </c>
      <c r="E116" s="101"/>
      <c r="F116" s="101"/>
      <c r="G116" s="101"/>
      <c r="H116" s="101"/>
      <c r="I116" s="209">
        <f>SUM(J116:P116)</f>
        <v>24804</v>
      </c>
      <c r="J116" s="107">
        <f>J118+J117+J119</f>
        <v>9595</v>
      </c>
      <c r="K116" s="107">
        <f t="shared" ref="K116:M116" si="22">K118+K117+K119</f>
        <v>0</v>
      </c>
      <c r="L116" s="107">
        <f t="shared" si="22"/>
        <v>3976.8</v>
      </c>
      <c r="M116" s="211">
        <f t="shared" si="22"/>
        <v>9472.2000000000007</v>
      </c>
      <c r="N116" s="107">
        <f t="shared" ref="N116:P116" si="23">N118+N117</f>
        <v>0</v>
      </c>
      <c r="O116" s="107">
        <f t="shared" si="23"/>
        <v>0</v>
      </c>
      <c r="P116" s="108">
        <f t="shared" si="23"/>
        <v>1760</v>
      </c>
    </row>
    <row r="117" spans="1:16" s="116" customFormat="1" ht="79.5" customHeight="1" thickBot="1">
      <c r="A117" s="237" t="s">
        <v>143</v>
      </c>
      <c r="B117" s="103" t="s">
        <v>331</v>
      </c>
      <c r="C117" s="143" t="s">
        <v>261</v>
      </c>
      <c r="D117" s="242" t="s">
        <v>35</v>
      </c>
      <c r="E117" s="141" t="s">
        <v>220</v>
      </c>
      <c r="F117" s="232">
        <v>1855</v>
      </c>
      <c r="G117" s="232">
        <v>1820</v>
      </c>
      <c r="H117" s="242" t="s">
        <v>272</v>
      </c>
      <c r="I117" s="209">
        <f>SUM(J117:P117)</f>
        <v>2032</v>
      </c>
      <c r="J117" s="114">
        <f>60+59-47</f>
        <v>72</v>
      </c>
      <c r="K117" s="114"/>
      <c r="L117" s="114">
        <v>200</v>
      </c>
      <c r="M117" s="114">
        <v>0</v>
      </c>
      <c r="N117" s="114"/>
      <c r="O117" s="114"/>
      <c r="P117" s="115">
        <v>1760</v>
      </c>
    </row>
    <row r="118" spans="1:16" ht="104.25" customHeight="1" thickBot="1">
      <c r="A118" s="149" t="s">
        <v>145</v>
      </c>
      <c r="B118" s="103" t="s">
        <v>238</v>
      </c>
      <c r="C118" s="103" t="s">
        <v>253</v>
      </c>
      <c r="D118" s="140" t="s">
        <v>35</v>
      </c>
      <c r="E118" s="142" t="s">
        <v>220</v>
      </c>
      <c r="F118" s="140">
        <v>9173</v>
      </c>
      <c r="G118" s="140">
        <v>9173</v>
      </c>
      <c r="H118" s="140" t="s">
        <v>267</v>
      </c>
      <c r="I118" s="309">
        <f>SUM(J118:P118)</f>
        <v>13299.8</v>
      </c>
      <c r="J118" s="136">
        <f>8613+210+350+350</f>
        <v>9523</v>
      </c>
      <c r="K118" s="136">
        <v>0</v>
      </c>
      <c r="L118" s="280">
        <v>3776.8</v>
      </c>
      <c r="M118" s="136"/>
      <c r="N118" s="136"/>
      <c r="O118" s="136"/>
      <c r="P118" s="137">
        <v>0</v>
      </c>
    </row>
    <row r="119" spans="1:16" ht="104.25" customHeight="1" thickBot="1">
      <c r="A119" s="149" t="s">
        <v>409</v>
      </c>
      <c r="B119" s="103" t="s">
        <v>413</v>
      </c>
      <c r="C119" s="103" t="s">
        <v>410</v>
      </c>
      <c r="D119" s="140" t="s">
        <v>35</v>
      </c>
      <c r="E119" s="142" t="s">
        <v>220</v>
      </c>
      <c r="F119" s="140">
        <v>9300</v>
      </c>
      <c r="G119" s="140">
        <v>9300</v>
      </c>
      <c r="H119" s="140" t="s">
        <v>411</v>
      </c>
      <c r="I119" s="309">
        <f>SUM(J119:P119)</f>
        <v>9472.2000000000007</v>
      </c>
      <c r="J119" s="136">
        <v>0</v>
      </c>
      <c r="K119" s="136">
        <v>0</v>
      </c>
      <c r="L119" s="280">
        <v>0</v>
      </c>
      <c r="M119" s="280">
        <f>9300+219.7-47.5</f>
        <v>9472.2000000000007</v>
      </c>
      <c r="N119" s="136"/>
      <c r="O119" s="136"/>
      <c r="P119" s="137">
        <v>0</v>
      </c>
    </row>
    <row r="120" spans="1:16" ht="26.25" customHeight="1">
      <c r="A120" s="425" t="s">
        <v>304</v>
      </c>
      <c r="B120" s="426"/>
      <c r="C120" s="426"/>
      <c r="D120" s="426"/>
      <c r="E120" s="426"/>
      <c r="F120" s="426"/>
      <c r="G120" s="426"/>
      <c r="H120" s="426"/>
      <c r="I120" s="449"/>
      <c r="J120" s="426"/>
      <c r="K120" s="426"/>
      <c r="L120" s="426"/>
      <c r="M120" s="426"/>
      <c r="N120" s="426"/>
      <c r="O120" s="426"/>
      <c r="P120" s="427"/>
    </row>
    <row r="121" spans="1:16" ht="37.5" customHeight="1">
      <c r="A121" s="231" t="s">
        <v>294</v>
      </c>
      <c r="B121" s="102" t="s">
        <v>381</v>
      </c>
      <c r="C121" s="102"/>
      <c r="D121" s="101" t="s">
        <v>35</v>
      </c>
      <c r="E121" s="101"/>
      <c r="F121" s="101"/>
      <c r="G121" s="101"/>
      <c r="H121" s="101"/>
      <c r="I121" s="209">
        <f t="shared" si="18"/>
        <v>6213</v>
      </c>
      <c r="J121" s="107">
        <f>J135+J122</f>
        <v>0</v>
      </c>
      <c r="K121" s="107">
        <f>K135+K122+K123</f>
        <v>2019</v>
      </c>
      <c r="L121" s="107">
        <f>SUM(L122:L135)+230.3+230.3</f>
        <v>1160.5999999999999</v>
      </c>
      <c r="M121" s="211">
        <f>1334.34-0.34+300</f>
        <v>1634</v>
      </c>
      <c r="N121" s="211">
        <v>1399.4</v>
      </c>
      <c r="O121" s="107">
        <f>O135+O122</f>
        <v>0</v>
      </c>
      <c r="P121" s="108">
        <f>P135+P122</f>
        <v>0</v>
      </c>
    </row>
    <row r="122" spans="1:16" s="116" customFormat="1" ht="146.25" hidden="1" customHeight="1" thickBot="1">
      <c r="A122" s="237" t="s">
        <v>295</v>
      </c>
      <c r="B122" s="103" t="s">
        <v>337</v>
      </c>
      <c r="C122" s="143" t="s">
        <v>261</v>
      </c>
      <c r="D122" s="242" t="s">
        <v>35</v>
      </c>
      <c r="E122" s="141" t="s">
        <v>220</v>
      </c>
      <c r="F122" s="440" t="s">
        <v>311</v>
      </c>
      <c r="G122" s="441"/>
      <c r="H122" s="242"/>
      <c r="I122" s="209">
        <f t="shared" si="18"/>
        <v>1150</v>
      </c>
      <c r="J122" s="114"/>
      <c r="K122" s="114">
        <v>800</v>
      </c>
      <c r="L122" s="114">
        <v>350</v>
      </c>
      <c r="M122" s="114"/>
      <c r="N122" s="114"/>
      <c r="O122" s="114"/>
      <c r="P122" s="115"/>
    </row>
    <row r="123" spans="1:16" s="116" customFormat="1" ht="104.25" hidden="1" customHeight="1">
      <c r="A123" s="237" t="s">
        <v>296</v>
      </c>
      <c r="B123" s="274" t="s">
        <v>338</v>
      </c>
      <c r="C123" s="143" t="s">
        <v>261</v>
      </c>
      <c r="D123" s="232" t="s">
        <v>35</v>
      </c>
      <c r="E123" s="243" t="s">
        <v>220</v>
      </c>
      <c r="F123" s="442" t="s">
        <v>322</v>
      </c>
      <c r="G123" s="443"/>
      <c r="H123" s="232"/>
      <c r="I123" s="209">
        <f t="shared" si="18"/>
        <v>550</v>
      </c>
      <c r="J123" s="114"/>
      <c r="K123" s="114">
        <v>550</v>
      </c>
      <c r="L123" s="114"/>
      <c r="M123" s="114"/>
      <c r="N123" s="114"/>
      <c r="O123" s="114"/>
      <c r="P123" s="115"/>
    </row>
    <row r="124" spans="1:16" s="116" customFormat="1" ht="116.25" hidden="1" customHeight="1">
      <c r="A124" s="248" t="s">
        <v>297</v>
      </c>
      <c r="B124" s="277" t="s">
        <v>339</v>
      </c>
      <c r="C124" s="262" t="s">
        <v>261</v>
      </c>
      <c r="D124" s="265" t="s">
        <v>35</v>
      </c>
      <c r="E124" s="141" t="s">
        <v>220</v>
      </c>
      <c r="F124" s="439" t="s">
        <v>311</v>
      </c>
      <c r="G124" s="439"/>
      <c r="H124" s="265"/>
      <c r="I124" s="209">
        <f t="shared" si="18"/>
        <v>150</v>
      </c>
      <c r="J124" s="263"/>
      <c r="K124" s="263"/>
      <c r="L124" s="263">
        <v>150</v>
      </c>
      <c r="M124" s="263"/>
      <c r="N124" s="263"/>
      <c r="O124" s="263"/>
      <c r="P124" s="264"/>
    </row>
    <row r="125" spans="1:16" s="116" customFormat="1" ht="116.25" hidden="1" customHeight="1">
      <c r="A125" s="275" t="s">
        <v>308</v>
      </c>
      <c r="B125" s="276" t="s">
        <v>340</v>
      </c>
      <c r="C125" s="269" t="s">
        <v>261</v>
      </c>
      <c r="D125" s="268" t="s">
        <v>35</v>
      </c>
      <c r="E125" s="141" t="s">
        <v>220</v>
      </c>
      <c r="F125" s="439" t="s">
        <v>311</v>
      </c>
      <c r="G125" s="439"/>
      <c r="H125" s="265"/>
      <c r="I125" s="209">
        <f t="shared" si="18"/>
        <v>50</v>
      </c>
      <c r="J125" s="114"/>
      <c r="K125" s="114"/>
      <c r="L125" s="114">
        <v>50</v>
      </c>
      <c r="M125" s="114"/>
      <c r="N125" s="114"/>
      <c r="O125" s="114"/>
      <c r="P125" s="115"/>
    </row>
    <row r="126" spans="1:16" s="116" customFormat="1" ht="123.75" hidden="1" customHeight="1">
      <c r="A126" s="275"/>
      <c r="B126" s="278" t="s">
        <v>336</v>
      </c>
      <c r="C126" s="269" t="s">
        <v>261</v>
      </c>
      <c r="D126" s="268" t="s">
        <v>35</v>
      </c>
      <c r="E126" s="141" t="s">
        <v>220</v>
      </c>
      <c r="F126" s="439" t="s">
        <v>311</v>
      </c>
      <c r="G126" s="439"/>
      <c r="H126" s="268"/>
      <c r="I126" s="209">
        <f t="shared" si="18"/>
        <v>90</v>
      </c>
      <c r="J126" s="114"/>
      <c r="K126" s="114"/>
      <c r="L126" s="114">
        <v>90</v>
      </c>
      <c r="M126" s="114"/>
      <c r="N126" s="114"/>
      <c r="O126" s="114"/>
      <c r="P126" s="115"/>
    </row>
    <row r="127" spans="1:16" s="116" customFormat="1" ht="103.5" hidden="1" customHeight="1" thickBot="1">
      <c r="A127" s="261" t="s">
        <v>309</v>
      </c>
      <c r="B127" s="103" t="s">
        <v>332</v>
      </c>
      <c r="C127" s="143" t="s">
        <v>261</v>
      </c>
      <c r="D127" s="265" t="s">
        <v>35</v>
      </c>
      <c r="E127" s="141" t="s">
        <v>220</v>
      </c>
      <c r="F127" s="440" t="s">
        <v>311</v>
      </c>
      <c r="G127" s="441"/>
      <c r="H127" s="265"/>
      <c r="I127" s="209">
        <f t="shared" si="18"/>
        <v>0</v>
      </c>
      <c r="J127" s="114"/>
      <c r="K127" s="114"/>
      <c r="L127" s="114"/>
      <c r="M127" s="114"/>
      <c r="N127" s="114"/>
      <c r="O127" s="114"/>
      <c r="P127" s="115"/>
    </row>
    <row r="128" spans="1:16" s="116" customFormat="1" ht="103.5" hidden="1" customHeight="1" thickBot="1">
      <c r="A128" s="261" t="s">
        <v>310</v>
      </c>
      <c r="B128" s="103" t="s">
        <v>333</v>
      </c>
      <c r="C128" s="143" t="s">
        <v>261</v>
      </c>
      <c r="D128" s="265" t="s">
        <v>35</v>
      </c>
      <c r="E128" s="141" t="s">
        <v>220</v>
      </c>
      <c r="F128" s="440" t="s">
        <v>311</v>
      </c>
      <c r="G128" s="441"/>
      <c r="H128" s="265"/>
      <c r="I128" s="209">
        <f t="shared" si="18"/>
        <v>0</v>
      </c>
      <c r="J128" s="114"/>
      <c r="K128" s="114"/>
      <c r="L128" s="114"/>
      <c r="M128" s="114"/>
      <c r="N128" s="114"/>
      <c r="O128" s="114"/>
      <c r="P128" s="115"/>
    </row>
    <row r="129" spans="1:16" s="116" customFormat="1" ht="103.5" hidden="1" customHeight="1" thickBot="1">
      <c r="A129" s="270" t="s">
        <v>309</v>
      </c>
      <c r="B129" s="103" t="s">
        <v>341</v>
      </c>
      <c r="C129" s="143" t="s">
        <v>261</v>
      </c>
      <c r="D129" s="268" t="s">
        <v>35</v>
      </c>
      <c r="E129" s="141" t="s">
        <v>220</v>
      </c>
      <c r="F129" s="440" t="s">
        <v>311</v>
      </c>
      <c r="G129" s="441"/>
      <c r="H129" s="268"/>
      <c r="I129" s="209">
        <f t="shared" si="18"/>
        <v>60</v>
      </c>
      <c r="J129" s="114"/>
      <c r="K129" s="114"/>
      <c r="L129" s="114">
        <v>60</v>
      </c>
      <c r="M129" s="114"/>
      <c r="N129" s="114"/>
      <c r="O129" s="114"/>
      <c r="P129" s="115"/>
    </row>
    <row r="130" spans="1:16" s="116" customFormat="1" ht="54.75" hidden="1" customHeight="1">
      <c r="A130" s="248" t="s">
        <v>310</v>
      </c>
      <c r="B130" s="238" t="s">
        <v>312</v>
      </c>
      <c r="C130" s="238" t="s">
        <v>261</v>
      </c>
      <c r="D130" s="242" t="s">
        <v>35</v>
      </c>
      <c r="E130" s="141" t="s">
        <v>220</v>
      </c>
      <c r="F130" s="439" t="s">
        <v>319</v>
      </c>
      <c r="G130" s="439"/>
      <c r="H130" s="242"/>
      <c r="I130" s="209">
        <f t="shared" si="18"/>
        <v>0</v>
      </c>
      <c r="J130" s="239"/>
      <c r="K130" s="239"/>
      <c r="L130" s="239"/>
      <c r="M130" s="239"/>
      <c r="N130" s="239"/>
      <c r="O130" s="239"/>
      <c r="P130" s="240"/>
    </row>
    <row r="131" spans="1:16" s="116" customFormat="1" ht="72.75" hidden="1" customHeight="1">
      <c r="A131" s="248" t="s">
        <v>315</v>
      </c>
      <c r="B131" s="269" t="s">
        <v>334</v>
      </c>
      <c r="C131" s="262" t="s">
        <v>261</v>
      </c>
      <c r="D131" s="265" t="s">
        <v>35</v>
      </c>
      <c r="E131" s="141" t="s">
        <v>220</v>
      </c>
      <c r="F131" s="439" t="s">
        <v>313</v>
      </c>
      <c r="G131" s="439"/>
      <c r="H131" s="265"/>
      <c r="I131" s="209">
        <f t="shared" si="18"/>
        <v>0</v>
      </c>
      <c r="J131" s="263"/>
      <c r="K131" s="263"/>
      <c r="L131" s="263"/>
      <c r="M131" s="263"/>
      <c r="N131" s="263"/>
      <c r="O131" s="263"/>
      <c r="P131" s="264"/>
    </row>
    <row r="132" spans="1:16" s="116" customFormat="1" ht="72.75" hidden="1" customHeight="1">
      <c r="A132" s="248" t="s">
        <v>315</v>
      </c>
      <c r="B132" s="269" t="s">
        <v>335</v>
      </c>
      <c r="C132" s="269" t="s">
        <v>261</v>
      </c>
      <c r="D132" s="268" t="s">
        <v>35</v>
      </c>
      <c r="E132" s="141" t="s">
        <v>220</v>
      </c>
      <c r="F132" s="439" t="s">
        <v>313</v>
      </c>
      <c r="G132" s="439"/>
      <c r="H132" s="268"/>
      <c r="I132" s="209">
        <f t="shared" si="18"/>
        <v>0</v>
      </c>
      <c r="J132" s="271"/>
      <c r="K132" s="271"/>
      <c r="L132" s="271"/>
      <c r="M132" s="271"/>
      <c r="N132" s="271"/>
      <c r="O132" s="271"/>
      <c r="P132" s="272"/>
    </row>
    <row r="133" spans="1:16" s="116" customFormat="1" ht="72.75" hidden="1" customHeight="1">
      <c r="A133" s="248" t="s">
        <v>315</v>
      </c>
      <c r="B133" s="238" t="s">
        <v>314</v>
      </c>
      <c r="C133" s="238" t="s">
        <v>261</v>
      </c>
      <c r="D133" s="242" t="s">
        <v>35</v>
      </c>
      <c r="E133" s="141" t="s">
        <v>220</v>
      </c>
      <c r="F133" s="439" t="s">
        <v>313</v>
      </c>
      <c r="G133" s="439"/>
      <c r="H133" s="242"/>
      <c r="I133" s="209">
        <f t="shared" si="18"/>
        <v>0</v>
      </c>
      <c r="J133" s="239"/>
      <c r="K133" s="239"/>
      <c r="L133" s="239"/>
      <c r="M133" s="239"/>
      <c r="N133" s="239"/>
      <c r="O133" s="239"/>
      <c r="P133" s="240"/>
    </row>
    <row r="134" spans="1:16" s="116" customFormat="1" ht="72.75" hidden="1" customHeight="1">
      <c r="A134" s="248" t="s">
        <v>318</v>
      </c>
      <c r="B134" s="238" t="s">
        <v>320</v>
      </c>
      <c r="C134" s="238" t="s">
        <v>261</v>
      </c>
      <c r="D134" s="242" t="s">
        <v>35</v>
      </c>
      <c r="E134" s="141" t="s">
        <v>220</v>
      </c>
      <c r="F134" s="439" t="s">
        <v>319</v>
      </c>
      <c r="G134" s="439"/>
      <c r="H134" s="242"/>
      <c r="I134" s="209">
        <f t="shared" si="18"/>
        <v>0</v>
      </c>
      <c r="J134" s="239"/>
      <c r="K134" s="239"/>
      <c r="L134" s="239"/>
      <c r="M134" s="239"/>
      <c r="N134" s="239"/>
      <c r="O134" s="239"/>
      <c r="P134" s="240"/>
    </row>
    <row r="135" spans="1:16" ht="84.75" hidden="1" customHeight="1" thickBot="1">
      <c r="A135" s="149" t="s">
        <v>321</v>
      </c>
      <c r="B135" s="103" t="s">
        <v>317</v>
      </c>
      <c r="C135" s="103" t="s">
        <v>261</v>
      </c>
      <c r="D135" s="140" t="s">
        <v>35</v>
      </c>
      <c r="E135" s="142" t="s">
        <v>220</v>
      </c>
      <c r="F135" s="444" t="s">
        <v>316</v>
      </c>
      <c r="G135" s="444"/>
      <c r="H135" s="140"/>
      <c r="I135" s="209">
        <f t="shared" si="18"/>
        <v>669</v>
      </c>
      <c r="J135" s="136"/>
      <c r="K135" s="136">
        <v>669</v>
      </c>
      <c r="L135" s="136"/>
      <c r="M135" s="136"/>
      <c r="N135" s="136"/>
      <c r="O135" s="136"/>
      <c r="P135" s="137"/>
    </row>
  </sheetData>
  <mergeCells count="235">
    <mergeCell ref="B88:B89"/>
    <mergeCell ref="A91:A92"/>
    <mergeCell ref="B91:B92"/>
    <mergeCell ref="A98:A99"/>
    <mergeCell ref="B98:B99"/>
    <mergeCell ref="A93:A94"/>
    <mergeCell ref="B93:B94"/>
    <mergeCell ref="C88:C89"/>
    <mergeCell ref="E88:E89"/>
    <mergeCell ref="A108:A109"/>
    <mergeCell ref="C106:C107"/>
    <mergeCell ref="A100:A101"/>
    <mergeCell ref="C93:C94"/>
    <mergeCell ref="C95:C96"/>
    <mergeCell ref="C98:C99"/>
    <mergeCell ref="C100:C101"/>
    <mergeCell ref="C102:C103"/>
    <mergeCell ref="C104:C105"/>
    <mergeCell ref="I23:I24"/>
    <mergeCell ref="I9:P9"/>
    <mergeCell ref="P18:P19"/>
    <mergeCell ref="O23:O24"/>
    <mergeCell ref="P23:P24"/>
    <mergeCell ref="N23:N24"/>
    <mergeCell ref="L18:L19"/>
    <mergeCell ref="M18:M19"/>
    <mergeCell ref="N18:N19"/>
    <mergeCell ref="L16:L17"/>
    <mergeCell ref="J23:J24"/>
    <mergeCell ref="N16:N17"/>
    <mergeCell ref="M23:M24"/>
    <mergeCell ref="L23:L24"/>
    <mergeCell ref="J16:J17"/>
    <mergeCell ref="K16:K17"/>
    <mergeCell ref="O16:O17"/>
    <mergeCell ref="O18:O19"/>
    <mergeCell ref="M16:M17"/>
    <mergeCell ref="K18:K19"/>
    <mergeCell ref="K23:K24"/>
    <mergeCell ref="I10:I11"/>
    <mergeCell ref="A52:A53"/>
    <mergeCell ref="B52:B53"/>
    <mergeCell ref="A67:A68"/>
    <mergeCell ref="B67:B68"/>
    <mergeCell ref="B104:B105"/>
    <mergeCell ref="A106:A107"/>
    <mergeCell ref="B106:B107"/>
    <mergeCell ref="B100:B101"/>
    <mergeCell ref="B84:B85"/>
    <mergeCell ref="A95:A96"/>
    <mergeCell ref="B95:B96"/>
    <mergeCell ref="B86:B87"/>
    <mergeCell ref="A82:A83"/>
    <mergeCell ref="B82:B83"/>
    <mergeCell ref="A86:A87"/>
    <mergeCell ref="A75:A76"/>
    <mergeCell ref="B75:B76"/>
    <mergeCell ref="A77:A78"/>
    <mergeCell ref="A84:A85"/>
    <mergeCell ref="B71:B72"/>
    <mergeCell ref="A102:A103"/>
    <mergeCell ref="B102:B103"/>
    <mergeCell ref="A104:A105"/>
    <mergeCell ref="A88:A89"/>
    <mergeCell ref="A1:P1"/>
    <mergeCell ref="A2:P2"/>
    <mergeCell ref="A3:P3"/>
    <mergeCell ref="A4:P4"/>
    <mergeCell ref="B54:B55"/>
    <mergeCell ref="A62:A63"/>
    <mergeCell ref="B62:B63"/>
    <mergeCell ref="B65:B66"/>
    <mergeCell ref="A54:A55"/>
    <mergeCell ref="A50:A51"/>
    <mergeCell ref="A60:A61"/>
    <mergeCell ref="A56:A57"/>
    <mergeCell ref="A58:A59"/>
    <mergeCell ref="D37:D41"/>
    <mergeCell ref="A23:A24"/>
    <mergeCell ref="A6:P6"/>
    <mergeCell ref="A8:P8"/>
    <mergeCell ref="A9:A11"/>
    <mergeCell ref="B9:B11"/>
    <mergeCell ref="P16:P17"/>
    <mergeCell ref="A18:A19"/>
    <mergeCell ref="I18:I19"/>
    <mergeCell ref="J18:J19"/>
    <mergeCell ref="I16:I17"/>
    <mergeCell ref="F9:G11"/>
    <mergeCell ref="C48:C49"/>
    <mergeCell ref="D14:D19"/>
    <mergeCell ref="E13:E46"/>
    <mergeCell ref="C37:C41"/>
    <mergeCell ref="C9:C11"/>
    <mergeCell ref="C14:C19"/>
    <mergeCell ref="C20:C25"/>
    <mergeCell ref="C27:C31"/>
    <mergeCell ref="D20:D25"/>
    <mergeCell ref="D45:D46"/>
    <mergeCell ref="C32:C36"/>
    <mergeCell ref="D27:D31"/>
    <mergeCell ref="D32:D36"/>
    <mergeCell ref="D9:D11"/>
    <mergeCell ref="F13:G13"/>
    <mergeCell ref="E9:E11"/>
    <mergeCell ref="C42:C44"/>
    <mergeCell ref="C45:C46"/>
    <mergeCell ref="B50:B51"/>
    <mergeCell ref="H48:H49"/>
    <mergeCell ref="H50:H51"/>
    <mergeCell ref="E58:E59"/>
    <mergeCell ref="D42:D44"/>
    <mergeCell ref="E50:E51"/>
    <mergeCell ref="E52:E53"/>
    <mergeCell ref="H69:H70"/>
    <mergeCell ref="F48:G49"/>
    <mergeCell ref="F50:G51"/>
    <mergeCell ref="F52:F53"/>
    <mergeCell ref="G52:G53"/>
    <mergeCell ref="F54:G55"/>
    <mergeCell ref="F56:G57"/>
    <mergeCell ref="F58:G59"/>
    <mergeCell ref="F60:G61"/>
    <mergeCell ref="B58:B59"/>
    <mergeCell ref="E62:E63"/>
    <mergeCell ref="E65:E66"/>
    <mergeCell ref="E67:E68"/>
    <mergeCell ref="B69:B70"/>
    <mergeCell ref="E54:E55"/>
    <mergeCell ref="H62:H63"/>
    <mergeCell ref="B56:B57"/>
    <mergeCell ref="F135:G135"/>
    <mergeCell ref="F115:G115"/>
    <mergeCell ref="F90:G90"/>
    <mergeCell ref="F91:G92"/>
    <mergeCell ref="G95:G96"/>
    <mergeCell ref="F97:G97"/>
    <mergeCell ref="F93:G94"/>
    <mergeCell ref="F95:F96"/>
    <mergeCell ref="F127:G127"/>
    <mergeCell ref="F128:G128"/>
    <mergeCell ref="F130:G130"/>
    <mergeCell ref="F133:G133"/>
    <mergeCell ref="F134:G134"/>
    <mergeCell ref="A120:P120"/>
    <mergeCell ref="H106:H107"/>
    <mergeCell ref="H104:H105"/>
    <mergeCell ref="C108:C109"/>
    <mergeCell ref="F106:G107"/>
    <mergeCell ref="B108:B109"/>
    <mergeCell ref="E106:E107"/>
    <mergeCell ref="F132:G132"/>
    <mergeCell ref="H100:H101"/>
    <mergeCell ref="H102:H103"/>
    <mergeCell ref="F124:G124"/>
    <mergeCell ref="F131:G131"/>
    <mergeCell ref="H108:H109"/>
    <mergeCell ref="E104:E105"/>
    <mergeCell ref="F129:G129"/>
    <mergeCell ref="F126:G126"/>
    <mergeCell ref="F104:G105"/>
    <mergeCell ref="F102:G103"/>
    <mergeCell ref="E100:E101"/>
    <mergeCell ref="E102:E103"/>
    <mergeCell ref="F125:G125"/>
    <mergeCell ref="E108:E109"/>
    <mergeCell ref="F122:G122"/>
    <mergeCell ref="F123:G123"/>
    <mergeCell ref="F108:G109"/>
    <mergeCell ref="F100:G101"/>
    <mergeCell ref="H71:H72"/>
    <mergeCell ref="F88:G89"/>
    <mergeCell ref="E73:E74"/>
    <mergeCell ref="E80:E81"/>
    <mergeCell ref="E82:E83"/>
    <mergeCell ref="H73:H74"/>
    <mergeCell ref="H93:H94"/>
    <mergeCell ref="H95:H96"/>
    <mergeCell ref="F98:G99"/>
    <mergeCell ref="F84:G85"/>
    <mergeCell ref="F86:G87"/>
    <mergeCell ref="H84:H85"/>
    <mergeCell ref="H86:H87"/>
    <mergeCell ref="E95:E96"/>
    <mergeCell ref="E98:E99"/>
    <mergeCell ref="H98:H99"/>
    <mergeCell ref="E71:E72"/>
    <mergeCell ref="A79:P79"/>
    <mergeCell ref="H88:H89"/>
    <mergeCell ref="H91:H92"/>
    <mergeCell ref="E91:E92"/>
    <mergeCell ref="E84:E85"/>
    <mergeCell ref="E93:E94"/>
    <mergeCell ref="C91:C92"/>
    <mergeCell ref="A7:P7"/>
    <mergeCell ref="H65:H66"/>
    <mergeCell ref="H80:H83"/>
    <mergeCell ref="F71:G72"/>
    <mergeCell ref="F80:G81"/>
    <mergeCell ref="C50:C63"/>
    <mergeCell ref="A47:P47"/>
    <mergeCell ref="B48:B49"/>
    <mergeCell ref="E48:E49"/>
    <mergeCell ref="H58:H59"/>
    <mergeCell ref="E69:E70"/>
    <mergeCell ref="H67:H68"/>
    <mergeCell ref="F69:G70"/>
    <mergeCell ref="F65:G66"/>
    <mergeCell ref="F67:G68"/>
    <mergeCell ref="H52:H53"/>
    <mergeCell ref="H54:H55"/>
    <mergeCell ref="H56:H57"/>
    <mergeCell ref="A48:A49"/>
    <mergeCell ref="A71:A72"/>
    <mergeCell ref="F64:G64"/>
    <mergeCell ref="A16:A17"/>
    <mergeCell ref="E56:E57"/>
    <mergeCell ref="H9:H11"/>
    <mergeCell ref="E60:E61"/>
    <mergeCell ref="F62:G63"/>
    <mergeCell ref="C65:C72"/>
    <mergeCell ref="F82:G83"/>
    <mergeCell ref="C84:C85"/>
    <mergeCell ref="C86:C87"/>
    <mergeCell ref="A69:A70"/>
    <mergeCell ref="A65:A66"/>
    <mergeCell ref="B60:B61"/>
    <mergeCell ref="E86:E87"/>
    <mergeCell ref="A73:A74"/>
    <mergeCell ref="B73:B74"/>
    <mergeCell ref="B77:B78"/>
    <mergeCell ref="B80:B81"/>
    <mergeCell ref="A80:A81"/>
    <mergeCell ref="C80:C81"/>
    <mergeCell ref="C82:C83"/>
  </mergeCells>
  <phoneticPr fontId="0" type="noConversion"/>
  <pageMargins left="0" right="0" top="0.47244094488188981" bottom="0.47244094488188981" header="0.59055118110236227" footer="0.59055118110236227"/>
  <pageSetup paperSize="9" scale="7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K163"/>
  <sheetViews>
    <sheetView tabSelected="1" zoomScale="130" zoomScaleNormal="130" workbookViewId="0">
      <selection sqref="A1:K1"/>
    </sheetView>
  </sheetViews>
  <sheetFormatPr defaultRowHeight="12.75"/>
  <cols>
    <col min="1" max="1" width="6.42578125" customWidth="1"/>
    <col min="2" max="2" width="34.5703125" customWidth="1"/>
    <col min="3" max="3" width="15.28515625" style="127" customWidth="1"/>
    <col min="4" max="4" width="11" customWidth="1"/>
    <col min="5" max="5" width="12.85546875" customWidth="1"/>
    <col min="6" max="6" width="10.42578125" style="152" customWidth="1"/>
    <col min="7" max="7" width="9.85546875" customWidth="1"/>
    <col min="8" max="8" width="10.28515625" customWidth="1"/>
    <col min="9" max="9" width="10.140625" customWidth="1"/>
    <col min="10" max="10" width="9.85546875" customWidth="1"/>
    <col min="11" max="11" width="11" customWidth="1"/>
  </cols>
  <sheetData>
    <row r="1" spans="1:11" ht="15.75">
      <c r="A1" s="334" t="s">
        <v>406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</row>
    <row r="2" spans="1:11" ht="15.75">
      <c r="A2" s="334" t="s">
        <v>405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</row>
    <row r="3" spans="1:11" ht="15.75">
      <c r="A3" s="334" t="s">
        <v>404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</row>
    <row r="4" spans="1:11" ht="15.75">
      <c r="A4" s="334" t="s">
        <v>356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</row>
    <row r="5" spans="1:11" ht="15.75">
      <c r="A5" s="60"/>
    </row>
    <row r="6" spans="1:11" ht="21" customHeight="1">
      <c r="A6" s="524" t="s">
        <v>303</v>
      </c>
      <c r="B6" s="524"/>
      <c r="C6" s="524"/>
      <c r="D6" s="524"/>
      <c r="E6" s="524"/>
      <c r="F6" s="524"/>
      <c r="G6" s="524"/>
      <c r="H6" s="524"/>
      <c r="I6" s="524"/>
      <c r="J6" s="524"/>
      <c r="K6" s="524"/>
    </row>
    <row r="7" spans="1:11" ht="17.25" customHeight="1">
      <c r="A7" s="525" t="s">
        <v>171</v>
      </c>
      <c r="B7" s="525"/>
      <c r="C7" s="525"/>
      <c r="D7" s="525"/>
      <c r="E7" s="525"/>
      <c r="F7" s="525"/>
      <c r="G7" s="525"/>
      <c r="H7" s="525"/>
      <c r="I7" s="525"/>
      <c r="J7" s="525"/>
      <c r="K7" s="525"/>
    </row>
    <row r="8" spans="1:11" ht="30" customHeight="1">
      <c r="A8" s="525"/>
      <c r="B8" s="525"/>
      <c r="C8" s="525"/>
      <c r="D8" s="525"/>
      <c r="E8" s="525"/>
      <c r="F8" s="525"/>
      <c r="G8" s="525"/>
      <c r="H8" s="525"/>
      <c r="I8" s="525"/>
      <c r="J8" s="525"/>
      <c r="K8" s="525"/>
    </row>
    <row r="9" spans="1:11" ht="21" customHeight="1" thickBot="1">
      <c r="A9" s="86"/>
      <c r="B9" s="86"/>
      <c r="C9" s="86"/>
      <c r="D9" s="86"/>
      <c r="E9" s="86"/>
      <c r="F9" s="153"/>
      <c r="G9" s="86"/>
      <c r="H9" s="86"/>
      <c r="I9" s="86"/>
      <c r="J9" s="86"/>
      <c r="K9" s="86"/>
    </row>
    <row r="10" spans="1:11">
      <c r="A10" s="520" t="s">
        <v>172</v>
      </c>
      <c r="B10" s="515" t="s">
        <v>173</v>
      </c>
      <c r="C10" s="515" t="s">
        <v>174</v>
      </c>
      <c r="D10" s="515" t="s">
        <v>60</v>
      </c>
      <c r="E10" s="515"/>
      <c r="F10" s="515"/>
      <c r="G10" s="515"/>
      <c r="H10" s="515"/>
      <c r="I10" s="515"/>
      <c r="J10" s="515"/>
      <c r="K10" s="517"/>
    </row>
    <row r="11" spans="1:11">
      <c r="A11" s="521"/>
      <c r="B11" s="516"/>
      <c r="C11" s="516"/>
      <c r="D11" s="516" t="s">
        <v>61</v>
      </c>
      <c r="E11" s="216">
        <v>2014</v>
      </c>
      <c r="F11" s="154">
        <v>2015</v>
      </c>
      <c r="G11" s="216">
        <v>2016</v>
      </c>
      <c r="H11" s="216">
        <v>2017</v>
      </c>
      <c r="I11" s="216">
        <v>2018</v>
      </c>
      <c r="J11" s="216">
        <v>2019</v>
      </c>
      <c r="K11" s="87">
        <v>2020</v>
      </c>
    </row>
    <row r="12" spans="1:11" ht="30" customHeight="1">
      <c r="A12" s="521"/>
      <c r="B12" s="516"/>
      <c r="C12" s="516"/>
      <c r="D12" s="516"/>
      <c r="E12" s="216" t="s">
        <v>62</v>
      </c>
      <c r="F12" s="154" t="s">
        <v>62</v>
      </c>
      <c r="G12" s="216" t="s">
        <v>62</v>
      </c>
      <c r="H12" s="216" t="s">
        <v>62</v>
      </c>
      <c r="I12" s="216" t="s">
        <v>62</v>
      </c>
      <c r="J12" s="216" t="s">
        <v>62</v>
      </c>
      <c r="K12" s="87" t="s">
        <v>62</v>
      </c>
    </row>
    <row r="13" spans="1:11">
      <c r="A13" s="214">
        <v>1</v>
      </c>
      <c r="B13" s="6">
        <v>2</v>
      </c>
      <c r="C13" s="6">
        <v>3</v>
      </c>
      <c r="D13" s="6">
        <v>4</v>
      </c>
      <c r="E13" s="6">
        <v>5</v>
      </c>
      <c r="F13" s="155">
        <v>6</v>
      </c>
      <c r="G13" s="6">
        <v>7</v>
      </c>
      <c r="H13" s="6">
        <v>8</v>
      </c>
      <c r="I13" s="6">
        <v>9</v>
      </c>
      <c r="J13" s="6">
        <v>10</v>
      </c>
      <c r="K13" s="13">
        <v>11</v>
      </c>
    </row>
    <row r="14" spans="1:11" ht="38.25" hidden="1" customHeight="1">
      <c r="A14" s="527" t="s">
        <v>301</v>
      </c>
      <c r="B14" s="528"/>
      <c r="C14" s="528"/>
      <c r="D14" s="528"/>
      <c r="E14" s="528"/>
      <c r="F14" s="528"/>
      <c r="G14" s="528"/>
      <c r="H14" s="528"/>
      <c r="I14" s="528"/>
      <c r="J14" s="528"/>
      <c r="K14" s="529"/>
    </row>
    <row r="15" spans="1:11" ht="25.5">
      <c r="A15" s="518">
        <v>1</v>
      </c>
      <c r="B15" s="519" t="s">
        <v>175</v>
      </c>
      <c r="C15" s="286" t="s">
        <v>38</v>
      </c>
      <c r="D15" s="224">
        <f>SUM(E15:K15)</f>
        <v>181.9</v>
      </c>
      <c r="E15" s="224">
        <f>E17+E19+E24+E26+E28+E30</f>
        <v>99.7</v>
      </c>
      <c r="F15" s="157">
        <f t="shared" ref="F15:K15" si="0">F17+F19+F24+F26+F28+F30</f>
        <v>82.2</v>
      </c>
      <c r="G15" s="120">
        <f t="shared" si="0"/>
        <v>0</v>
      </c>
      <c r="H15" s="120">
        <f t="shared" si="0"/>
        <v>0</v>
      </c>
      <c r="I15" s="120">
        <f t="shared" si="0"/>
        <v>0</v>
      </c>
      <c r="J15" s="120">
        <f t="shared" si="0"/>
        <v>0</v>
      </c>
      <c r="K15" s="130">
        <f t="shared" si="0"/>
        <v>0</v>
      </c>
    </row>
    <row r="16" spans="1:11" ht="23.25" customHeight="1">
      <c r="A16" s="518"/>
      <c r="B16" s="519"/>
      <c r="C16" s="286" t="s">
        <v>35</v>
      </c>
      <c r="D16" s="224">
        <f>SUM(E16:K16)</f>
        <v>13008.7</v>
      </c>
      <c r="E16" s="121">
        <f>E18+E23+E25+E27+E29+E31+E32+E34+E40+E41</f>
        <v>3765</v>
      </c>
      <c r="F16" s="157">
        <f>F18+F23+F25+F27+F29+F31+F32+F33+F43+F45+F44</f>
        <v>810.30000000000007</v>
      </c>
      <c r="G16" s="157">
        <f>G8+G23+G25+G27+G29+G31+G32+G33+G43+G45+G44+G40+G46+G47+G48+G41</f>
        <v>2569.4</v>
      </c>
      <c r="H16" s="120">
        <f>H17+H18+H19+H23+H24+H25+H26+H27+H28+H29+H30+H31+H32+H33+H34+H40+H41+H43+H44+H45+H46+H47+H48+H49+H50+H51+H52</f>
        <v>3574</v>
      </c>
      <c r="I16" s="120">
        <f t="shared" ref="I16:K16" si="1">I18+I23+I25+I27+I29+I31+I32</f>
        <v>1160</v>
      </c>
      <c r="J16" s="120">
        <f t="shared" si="1"/>
        <v>1130</v>
      </c>
      <c r="K16" s="130">
        <f t="shared" si="1"/>
        <v>0</v>
      </c>
    </row>
    <row r="17" spans="1:11" ht="35.25" customHeight="1">
      <c r="A17" s="492">
        <v>1.1000000000000001</v>
      </c>
      <c r="B17" s="493" t="s">
        <v>176</v>
      </c>
      <c r="C17" s="212" t="s">
        <v>38</v>
      </c>
      <c r="D17" s="224">
        <f>SUM(E17:K17)</f>
        <v>0</v>
      </c>
      <c r="E17" s="217">
        <v>0</v>
      </c>
      <c r="F17" s="220"/>
      <c r="G17" s="217"/>
      <c r="H17" s="219"/>
      <c r="I17" s="219"/>
      <c r="J17" s="219"/>
      <c r="K17" s="222"/>
    </row>
    <row r="18" spans="1:11" ht="29.25" customHeight="1">
      <c r="A18" s="492"/>
      <c r="B18" s="493"/>
      <c r="C18" s="212" t="s">
        <v>35</v>
      </c>
      <c r="D18" s="224">
        <f>SUM(E18:K18)</f>
        <v>18</v>
      </c>
      <c r="E18" s="217">
        <v>18</v>
      </c>
      <c r="F18" s="220"/>
      <c r="G18" s="217"/>
      <c r="H18" s="219"/>
      <c r="I18" s="219"/>
      <c r="J18" s="219"/>
      <c r="K18" s="222"/>
    </row>
    <row r="19" spans="1:11" ht="25.5">
      <c r="A19" s="494">
        <v>1.2</v>
      </c>
      <c r="B19" s="223" t="s">
        <v>212</v>
      </c>
      <c r="C19" s="388" t="s">
        <v>38</v>
      </c>
      <c r="D19" s="495">
        <f>SUM(E19:K22)</f>
        <v>0</v>
      </c>
      <c r="E19" s="496">
        <v>0</v>
      </c>
      <c r="F19" s="497"/>
      <c r="G19" s="496"/>
      <c r="H19" s="498"/>
      <c r="I19" s="498"/>
      <c r="J19" s="498"/>
      <c r="K19" s="491"/>
    </row>
    <row r="20" spans="1:11">
      <c r="A20" s="494"/>
      <c r="B20" s="223" t="s">
        <v>177</v>
      </c>
      <c r="C20" s="388"/>
      <c r="D20" s="495"/>
      <c r="E20" s="496"/>
      <c r="F20" s="497"/>
      <c r="G20" s="496"/>
      <c r="H20" s="498"/>
      <c r="I20" s="498"/>
      <c r="J20" s="498"/>
      <c r="K20" s="491"/>
    </row>
    <row r="21" spans="1:11" ht="38.25">
      <c r="A21" s="494"/>
      <c r="B21" s="223" t="s">
        <v>178</v>
      </c>
      <c r="C21" s="388"/>
      <c r="D21" s="495"/>
      <c r="E21" s="496"/>
      <c r="F21" s="497"/>
      <c r="G21" s="496"/>
      <c r="H21" s="498"/>
      <c r="I21" s="498"/>
      <c r="J21" s="498"/>
      <c r="K21" s="491"/>
    </row>
    <row r="22" spans="1:11">
      <c r="A22" s="494"/>
      <c r="B22" s="223" t="s">
        <v>213</v>
      </c>
      <c r="C22" s="388"/>
      <c r="D22" s="495"/>
      <c r="E22" s="496"/>
      <c r="F22" s="497"/>
      <c r="G22" s="496"/>
      <c r="H22" s="498"/>
      <c r="I22" s="498"/>
      <c r="J22" s="498"/>
      <c r="K22" s="491"/>
    </row>
    <row r="23" spans="1:11" ht="25.5">
      <c r="A23" s="494"/>
      <c r="B23" s="223" t="s">
        <v>179</v>
      </c>
      <c r="C23" s="212" t="s">
        <v>35</v>
      </c>
      <c r="D23" s="224">
        <f t="shared" ref="D23:D40" si="2">SUM(E23:K23)</f>
        <v>81</v>
      </c>
      <c r="E23" s="217">
        <v>81</v>
      </c>
      <c r="F23" s="220"/>
      <c r="G23" s="217"/>
      <c r="H23" s="219"/>
      <c r="I23" s="219"/>
      <c r="J23" s="219"/>
      <c r="K23" s="222"/>
    </row>
    <row r="24" spans="1:11" ht="22.5" customHeight="1">
      <c r="A24" s="494" t="s">
        <v>92</v>
      </c>
      <c r="B24" s="223" t="s">
        <v>180</v>
      </c>
      <c r="C24" s="212" t="s">
        <v>38</v>
      </c>
      <c r="D24" s="224">
        <f t="shared" si="2"/>
        <v>0</v>
      </c>
      <c r="E24" s="217">
        <v>0</v>
      </c>
      <c r="F24" s="220"/>
      <c r="G24" s="217"/>
      <c r="H24" s="217"/>
      <c r="I24" s="217"/>
      <c r="J24" s="219"/>
      <c r="K24" s="222"/>
    </row>
    <row r="25" spans="1:11" ht="20.25" customHeight="1">
      <c r="A25" s="494"/>
      <c r="B25" s="223" t="s">
        <v>181</v>
      </c>
      <c r="C25" s="212" t="s">
        <v>35</v>
      </c>
      <c r="D25" s="224">
        <f t="shared" si="2"/>
        <v>91</v>
      </c>
      <c r="E25" s="217">
        <v>91</v>
      </c>
      <c r="F25" s="220"/>
      <c r="G25" s="217"/>
      <c r="H25" s="217"/>
      <c r="I25" s="217"/>
      <c r="J25" s="219"/>
      <c r="K25" s="222"/>
    </row>
    <row r="26" spans="1:11" s="152" customFormat="1" ht="25.5">
      <c r="A26" s="526">
        <v>1.4</v>
      </c>
      <c r="B26" s="523" t="s">
        <v>182</v>
      </c>
      <c r="C26" s="213" t="s">
        <v>38</v>
      </c>
      <c r="D26" s="157">
        <f t="shared" si="2"/>
        <v>99.7</v>
      </c>
      <c r="E26" s="175">
        <v>99.7</v>
      </c>
      <c r="F26" s="220"/>
      <c r="G26" s="220"/>
      <c r="H26" s="220"/>
      <c r="I26" s="220"/>
      <c r="J26" s="176"/>
      <c r="K26" s="177"/>
    </row>
    <row r="27" spans="1:11" s="152" customFormat="1" ht="15" customHeight="1">
      <c r="A27" s="526"/>
      <c r="B27" s="523"/>
      <c r="C27" s="213" t="s">
        <v>35</v>
      </c>
      <c r="D27" s="157">
        <f t="shared" si="2"/>
        <v>1200</v>
      </c>
      <c r="E27" s="220">
        <v>1200</v>
      </c>
      <c r="F27" s="220"/>
      <c r="G27" s="220"/>
      <c r="H27" s="220"/>
      <c r="I27" s="220"/>
      <c r="J27" s="176"/>
      <c r="K27" s="177"/>
    </row>
    <row r="28" spans="1:11" s="152" customFormat="1" ht="25.5">
      <c r="A28" s="505" t="s">
        <v>112</v>
      </c>
      <c r="B28" s="523" t="s">
        <v>183</v>
      </c>
      <c r="C28" s="213" t="s">
        <v>38</v>
      </c>
      <c r="D28" s="157">
        <f t="shared" si="2"/>
        <v>82.2</v>
      </c>
      <c r="E28" s="220"/>
      <c r="F28" s="175">
        <v>82.2</v>
      </c>
      <c r="G28" s="220"/>
      <c r="H28" s="220"/>
      <c r="I28" s="220"/>
      <c r="J28" s="176"/>
      <c r="K28" s="177"/>
    </row>
    <row r="29" spans="1:11" s="152" customFormat="1" ht="24" customHeight="1">
      <c r="A29" s="505"/>
      <c r="B29" s="523"/>
      <c r="C29" s="213" t="s">
        <v>35</v>
      </c>
      <c r="D29" s="157">
        <f t="shared" si="2"/>
        <v>980.3</v>
      </c>
      <c r="E29" s="220"/>
      <c r="F29" s="175">
        <f>700-419.7</f>
        <v>280.3</v>
      </c>
      <c r="G29" s="220"/>
      <c r="H29" s="220">
        <f>1000-200-100</f>
        <v>700</v>
      </c>
      <c r="I29" s="220"/>
      <c r="J29" s="176"/>
      <c r="K29" s="177"/>
    </row>
    <row r="30" spans="1:11" s="152" customFormat="1" ht="37.5" customHeight="1">
      <c r="A30" s="505" t="s">
        <v>122</v>
      </c>
      <c r="B30" s="506" t="s">
        <v>184</v>
      </c>
      <c r="C30" s="213" t="s">
        <v>38</v>
      </c>
      <c r="D30" s="157">
        <f t="shared" si="2"/>
        <v>0</v>
      </c>
      <c r="E30" s="220"/>
      <c r="F30" s="220"/>
      <c r="G30" s="220">
        <v>0</v>
      </c>
      <c r="H30" s="220"/>
      <c r="I30" s="220"/>
      <c r="J30" s="220"/>
      <c r="K30" s="178"/>
    </row>
    <row r="31" spans="1:11" s="152" customFormat="1" ht="15.75" customHeight="1">
      <c r="A31" s="505"/>
      <c r="B31" s="506"/>
      <c r="C31" s="213" t="s">
        <v>35</v>
      </c>
      <c r="D31" s="157">
        <f t="shared" si="2"/>
        <v>2510</v>
      </c>
      <c r="E31" s="220"/>
      <c r="F31" s="220"/>
      <c r="G31" s="220">
        <v>0</v>
      </c>
      <c r="H31" s="220">
        <f>529-209-100</f>
        <v>220</v>
      </c>
      <c r="I31" s="220">
        <v>1160</v>
      </c>
      <c r="J31" s="220">
        <v>1130</v>
      </c>
      <c r="K31" s="178"/>
    </row>
    <row r="32" spans="1:11" s="152" customFormat="1" ht="88.5" customHeight="1">
      <c r="A32" s="218" t="s">
        <v>128</v>
      </c>
      <c r="B32" s="182" t="s">
        <v>185</v>
      </c>
      <c r="C32" s="287" t="s">
        <v>35</v>
      </c>
      <c r="D32" s="157">
        <f t="shared" si="2"/>
        <v>173</v>
      </c>
      <c r="E32" s="156">
        <v>173</v>
      </c>
      <c r="F32" s="206">
        <v>0</v>
      </c>
      <c r="G32" s="156">
        <v>0</v>
      </c>
      <c r="H32" s="156"/>
      <c r="I32" s="156"/>
      <c r="J32" s="156"/>
      <c r="K32" s="179"/>
    </row>
    <row r="33" spans="1:11" s="152" customFormat="1" ht="57" customHeight="1">
      <c r="A33" s="218" t="s">
        <v>201</v>
      </c>
      <c r="B33" s="182" t="s">
        <v>292</v>
      </c>
      <c r="C33" s="287" t="s">
        <v>35</v>
      </c>
      <c r="D33" s="157">
        <f t="shared" si="2"/>
        <v>330.00000000000006</v>
      </c>
      <c r="E33" s="156"/>
      <c r="F33" s="207">
        <f>624.7-294.7</f>
        <v>330.00000000000006</v>
      </c>
      <c r="G33" s="156"/>
      <c r="H33" s="156"/>
      <c r="I33" s="156"/>
      <c r="J33" s="156"/>
      <c r="K33" s="179"/>
    </row>
    <row r="34" spans="1:11" s="152" customFormat="1" ht="39.75" customHeight="1">
      <c r="A34" s="499" t="s">
        <v>291</v>
      </c>
      <c r="B34" s="250" t="s">
        <v>323</v>
      </c>
      <c r="C34" s="502" t="s">
        <v>35</v>
      </c>
      <c r="D34" s="180">
        <f t="shared" ref="D34:D39" si="3">SUM(E34:K34)</f>
        <v>922</v>
      </c>
      <c r="E34" s="158">
        <f>E35+E39</f>
        <v>922</v>
      </c>
      <c r="F34" s="208">
        <f t="shared" ref="F34:K34" si="4">F36+F37+F38</f>
        <v>0</v>
      </c>
      <c r="G34" s="158">
        <f t="shared" si="4"/>
        <v>0</v>
      </c>
      <c r="H34" s="158">
        <f t="shared" si="4"/>
        <v>0</v>
      </c>
      <c r="I34" s="158">
        <f t="shared" si="4"/>
        <v>0</v>
      </c>
      <c r="J34" s="158">
        <f t="shared" si="4"/>
        <v>0</v>
      </c>
      <c r="K34" s="181">
        <f t="shared" si="4"/>
        <v>0</v>
      </c>
    </row>
    <row r="35" spans="1:11" s="152" customFormat="1" ht="42" customHeight="1">
      <c r="A35" s="500"/>
      <c r="B35" s="182" t="s">
        <v>207</v>
      </c>
      <c r="C35" s="503"/>
      <c r="D35" s="157">
        <f t="shared" si="3"/>
        <v>872</v>
      </c>
      <c r="E35" s="220">
        <f>E36+E37+E38</f>
        <v>872</v>
      </c>
      <c r="F35" s="220"/>
      <c r="G35" s="220"/>
      <c r="H35" s="220"/>
      <c r="I35" s="220"/>
      <c r="J35" s="220"/>
      <c r="K35" s="178"/>
    </row>
    <row r="36" spans="1:11" s="152" customFormat="1" ht="14.25">
      <c r="A36" s="500"/>
      <c r="B36" s="182" t="s">
        <v>198</v>
      </c>
      <c r="C36" s="503"/>
      <c r="D36" s="157">
        <f t="shared" si="3"/>
        <v>363</v>
      </c>
      <c r="E36" s="220">
        <v>363</v>
      </c>
      <c r="F36" s="220"/>
      <c r="G36" s="220"/>
      <c r="H36" s="220"/>
      <c r="I36" s="220"/>
      <c r="J36" s="220"/>
      <c r="K36" s="178"/>
    </row>
    <row r="37" spans="1:11" s="152" customFormat="1" ht="14.25">
      <c r="A37" s="500"/>
      <c r="B37" s="250" t="s">
        <v>199</v>
      </c>
      <c r="C37" s="503"/>
      <c r="D37" s="157">
        <f t="shared" si="3"/>
        <v>355</v>
      </c>
      <c r="E37" s="220">
        <v>355</v>
      </c>
      <c r="F37" s="220"/>
      <c r="G37" s="220"/>
      <c r="H37" s="220"/>
      <c r="I37" s="220"/>
      <c r="J37" s="220"/>
      <c r="K37" s="178"/>
    </row>
    <row r="38" spans="1:11" s="152" customFormat="1" ht="14.25">
      <c r="A38" s="501"/>
      <c r="B38" s="182" t="s">
        <v>200</v>
      </c>
      <c r="C38" s="504"/>
      <c r="D38" s="157">
        <f t="shared" si="3"/>
        <v>154</v>
      </c>
      <c r="E38" s="220">
        <v>154</v>
      </c>
      <c r="F38" s="220"/>
      <c r="G38" s="220"/>
      <c r="H38" s="220"/>
      <c r="I38" s="220"/>
      <c r="J38" s="220"/>
      <c r="K38" s="178"/>
    </row>
    <row r="39" spans="1:11" s="152" customFormat="1" ht="47.25" customHeight="1">
      <c r="A39" s="225"/>
      <c r="B39" s="182" t="s">
        <v>208</v>
      </c>
      <c r="C39" s="226"/>
      <c r="D39" s="157">
        <f t="shared" si="3"/>
        <v>50</v>
      </c>
      <c r="E39" s="220">
        <v>50</v>
      </c>
      <c r="F39" s="220"/>
      <c r="G39" s="220"/>
      <c r="H39" s="220"/>
      <c r="I39" s="220"/>
      <c r="J39" s="220"/>
      <c r="K39" s="178"/>
    </row>
    <row r="40" spans="1:11" s="152" customFormat="1" ht="29.25" customHeight="1">
      <c r="A40" s="183">
        <v>1.1000000000000001</v>
      </c>
      <c r="B40" s="283" t="s">
        <v>202</v>
      </c>
      <c r="C40" s="213" t="s">
        <v>35</v>
      </c>
      <c r="D40" s="157">
        <f t="shared" si="2"/>
        <v>1845</v>
      </c>
      <c r="E40" s="220">
        <v>1080</v>
      </c>
      <c r="F40" s="220"/>
      <c r="G40" s="175">
        <f>1197.7-432.7</f>
        <v>765</v>
      </c>
      <c r="H40" s="220"/>
      <c r="I40" s="220"/>
      <c r="J40" s="220"/>
      <c r="K40" s="178"/>
    </row>
    <row r="41" spans="1:11" ht="60.75" customHeight="1">
      <c r="A41" s="139">
        <v>1.1100000000000001</v>
      </c>
      <c r="B41" s="314" t="s">
        <v>214</v>
      </c>
      <c r="C41" s="228" t="s">
        <v>35</v>
      </c>
      <c r="D41" s="224">
        <f>SUM(E41:K41)</f>
        <v>900</v>
      </c>
      <c r="E41" s="123">
        <v>200</v>
      </c>
      <c r="F41" s="220"/>
      <c r="G41" s="217">
        <v>350</v>
      </c>
      <c r="H41" s="217">
        <v>350</v>
      </c>
      <c r="I41" s="217"/>
      <c r="J41" s="217"/>
      <c r="K41" s="122"/>
    </row>
    <row r="42" spans="1:11" ht="29.25" hidden="1" customHeight="1">
      <c r="A42" s="487" t="s">
        <v>302</v>
      </c>
      <c r="B42" s="488"/>
      <c r="C42" s="488"/>
      <c r="D42" s="488"/>
      <c r="E42" s="488"/>
      <c r="F42" s="488"/>
      <c r="G42" s="488"/>
      <c r="H42" s="488"/>
      <c r="I42" s="488"/>
      <c r="J42" s="488"/>
      <c r="K42" s="489"/>
    </row>
    <row r="43" spans="1:11" ht="60.75" customHeight="1">
      <c r="A43" s="139">
        <v>1.1200000000000001</v>
      </c>
      <c r="B43" s="252" t="s">
        <v>307</v>
      </c>
      <c r="C43" s="251" t="s">
        <v>35</v>
      </c>
      <c r="D43" s="205">
        <f>SUM(E43:K43)</f>
        <v>100</v>
      </c>
      <c r="E43" s="204"/>
      <c r="F43" s="204">
        <v>100</v>
      </c>
      <c r="G43" s="203"/>
      <c r="H43" s="203"/>
      <c r="I43" s="203"/>
      <c r="J43" s="203"/>
      <c r="K43" s="227"/>
    </row>
    <row r="44" spans="1:11" ht="44.25" customHeight="1">
      <c r="A44" s="139">
        <v>1.1299999999999999</v>
      </c>
      <c r="B44" s="252" t="s">
        <v>325</v>
      </c>
      <c r="C44" s="251" t="s">
        <v>35</v>
      </c>
      <c r="D44" s="205">
        <v>0</v>
      </c>
      <c r="E44" s="204"/>
      <c r="F44" s="204">
        <f>1014.4-1014.4</f>
        <v>0</v>
      </c>
      <c r="G44" s="251">
        <v>0</v>
      </c>
      <c r="H44" s="203"/>
      <c r="I44" s="203"/>
      <c r="J44" s="203"/>
      <c r="K44" s="227"/>
    </row>
    <row r="45" spans="1:11" ht="50.25" customHeight="1">
      <c r="A45" s="139">
        <v>1.1399999999999999</v>
      </c>
      <c r="B45" s="305" t="s">
        <v>361</v>
      </c>
      <c r="C45" s="251" t="s">
        <v>35</v>
      </c>
      <c r="D45" s="205">
        <f>SUM(E45:K45)</f>
        <v>100</v>
      </c>
      <c r="E45" s="204"/>
      <c r="F45" s="204">
        <v>100</v>
      </c>
      <c r="G45" s="203"/>
      <c r="H45" s="203"/>
      <c r="I45" s="203"/>
      <c r="J45" s="203"/>
      <c r="K45" s="227"/>
    </row>
    <row r="46" spans="1:11" ht="45.75" customHeight="1">
      <c r="A46" s="139">
        <v>1.1499999999999999</v>
      </c>
      <c r="B46" s="252" t="s">
        <v>326</v>
      </c>
      <c r="C46" s="251" t="s">
        <v>35</v>
      </c>
      <c r="D46" s="205">
        <f t="shared" ref="D46:D52" si="5">SUM(E46:K46)</f>
        <v>0</v>
      </c>
      <c r="E46" s="204"/>
      <c r="F46" s="204"/>
      <c r="G46" s="251">
        <v>0</v>
      </c>
      <c r="H46" s="203"/>
      <c r="I46" s="203"/>
      <c r="J46" s="203"/>
      <c r="K46" s="227"/>
    </row>
    <row r="47" spans="1:11" ht="66.75" customHeight="1">
      <c r="A47" s="139">
        <v>1.1599999999999999</v>
      </c>
      <c r="B47" s="252" t="s">
        <v>398</v>
      </c>
      <c r="C47" s="251" t="s">
        <v>35</v>
      </c>
      <c r="D47" s="205">
        <f t="shared" si="5"/>
        <v>1454.4</v>
      </c>
      <c r="E47" s="204"/>
      <c r="F47" s="204"/>
      <c r="G47" s="251">
        <v>1454.4</v>
      </c>
      <c r="H47" s="203"/>
      <c r="I47" s="203"/>
      <c r="J47" s="203"/>
      <c r="K47" s="227"/>
    </row>
    <row r="48" spans="1:11" ht="72" customHeight="1">
      <c r="A48" s="139">
        <v>1.17</v>
      </c>
      <c r="B48" s="252" t="s">
        <v>327</v>
      </c>
      <c r="C48" s="251" t="s">
        <v>35</v>
      </c>
      <c r="D48" s="205">
        <f t="shared" si="5"/>
        <v>0</v>
      </c>
      <c r="E48" s="204"/>
      <c r="F48" s="204"/>
      <c r="G48" s="251">
        <v>0</v>
      </c>
      <c r="H48" s="203"/>
      <c r="I48" s="203"/>
      <c r="J48" s="203"/>
      <c r="K48" s="227"/>
    </row>
    <row r="49" spans="1:11" ht="72" customHeight="1">
      <c r="A49" s="139">
        <v>1.18</v>
      </c>
      <c r="B49" s="252" t="s">
        <v>414</v>
      </c>
      <c r="C49" s="251" t="s">
        <v>35</v>
      </c>
      <c r="D49" s="205">
        <f t="shared" si="5"/>
        <v>1539</v>
      </c>
      <c r="E49" s="204"/>
      <c r="F49" s="204"/>
      <c r="G49" s="251"/>
      <c r="H49" s="251">
        <f>1800-261</f>
        <v>1539</v>
      </c>
      <c r="I49" s="203"/>
      <c r="J49" s="203"/>
      <c r="K49" s="304"/>
    </row>
    <row r="50" spans="1:11" ht="72" customHeight="1">
      <c r="A50" s="139">
        <v>1.19</v>
      </c>
      <c r="B50" s="252" t="s">
        <v>399</v>
      </c>
      <c r="C50" s="251" t="s">
        <v>35</v>
      </c>
      <c r="D50" s="205">
        <f t="shared" si="5"/>
        <v>310</v>
      </c>
      <c r="E50" s="204"/>
      <c r="F50" s="204"/>
      <c r="G50" s="251"/>
      <c r="H50" s="251">
        <v>310</v>
      </c>
      <c r="I50" s="203"/>
      <c r="J50" s="203"/>
      <c r="K50" s="304"/>
    </row>
    <row r="51" spans="1:11" ht="45" customHeight="1">
      <c r="A51" s="139">
        <v>1.2</v>
      </c>
      <c r="B51" s="310" t="s">
        <v>407</v>
      </c>
      <c r="C51" s="251" t="s">
        <v>35</v>
      </c>
      <c r="D51" s="205">
        <f t="shared" si="5"/>
        <v>420</v>
      </c>
      <c r="E51" s="204"/>
      <c r="F51" s="204"/>
      <c r="G51" s="251"/>
      <c r="H51" s="251">
        <v>420</v>
      </c>
      <c r="I51" s="203"/>
      <c r="J51" s="203"/>
      <c r="K51" s="304"/>
    </row>
    <row r="52" spans="1:11" ht="28.5" customHeight="1">
      <c r="A52" s="139">
        <v>1.21</v>
      </c>
      <c r="B52" s="311" t="s">
        <v>412</v>
      </c>
      <c r="C52" s="251" t="s">
        <v>35</v>
      </c>
      <c r="D52" s="205">
        <f t="shared" si="5"/>
        <v>35</v>
      </c>
      <c r="E52" s="204"/>
      <c r="F52" s="204"/>
      <c r="G52" s="251"/>
      <c r="H52" s="251">
        <f>200-165</f>
        <v>35</v>
      </c>
      <c r="I52" s="203"/>
      <c r="J52" s="203"/>
      <c r="K52" s="304"/>
    </row>
    <row r="53" spans="1:11" ht="91.5" customHeight="1">
      <c r="A53" s="92" t="s">
        <v>82</v>
      </c>
      <c r="B53" s="313" t="s">
        <v>362</v>
      </c>
      <c r="C53" s="286" t="s">
        <v>35</v>
      </c>
      <c r="D53" s="224">
        <f>SUM(E53:K53)</f>
        <v>300</v>
      </c>
      <c r="E53" s="156">
        <f>E54</f>
        <v>300</v>
      </c>
      <c r="F53" s="156">
        <f t="shared" ref="F53:K53" si="6">F54</f>
        <v>0</v>
      </c>
      <c r="G53" s="157">
        <f t="shared" si="6"/>
        <v>0</v>
      </c>
      <c r="H53" s="156">
        <f t="shared" si="6"/>
        <v>0</v>
      </c>
      <c r="I53" s="156">
        <f t="shared" si="6"/>
        <v>0</v>
      </c>
      <c r="J53" s="156">
        <f t="shared" si="6"/>
        <v>0</v>
      </c>
      <c r="K53" s="156">
        <f t="shared" si="6"/>
        <v>0</v>
      </c>
    </row>
    <row r="54" spans="1:11" ht="14.25">
      <c r="A54" s="289" t="s">
        <v>131</v>
      </c>
      <c r="B54" s="291" t="s">
        <v>324</v>
      </c>
      <c r="C54" s="212" t="s">
        <v>35</v>
      </c>
      <c r="D54" s="266">
        <f>SUM(E54:K54)</f>
        <v>300</v>
      </c>
      <c r="E54" s="220">
        <v>300</v>
      </c>
      <c r="F54" s="220"/>
      <c r="G54" s="273">
        <v>0</v>
      </c>
      <c r="H54" s="217"/>
      <c r="I54" s="217"/>
      <c r="J54" s="217"/>
      <c r="K54" s="122"/>
    </row>
    <row r="55" spans="1:11" ht="30" customHeight="1">
      <c r="A55" s="289" t="s">
        <v>136</v>
      </c>
      <c r="B55" s="291" t="s">
        <v>363</v>
      </c>
      <c r="C55" s="212" t="s">
        <v>35</v>
      </c>
      <c r="D55" s="224">
        <f>SUM(E55:K55)</f>
        <v>0</v>
      </c>
      <c r="E55" s="217"/>
      <c r="F55" s="220"/>
      <c r="G55" s="217"/>
      <c r="H55" s="217"/>
      <c r="I55" s="217"/>
      <c r="J55" s="217"/>
      <c r="K55" s="122"/>
    </row>
    <row r="56" spans="1:11" ht="14.25">
      <c r="A56" s="292" t="s">
        <v>131</v>
      </c>
      <c r="B56" s="253" t="s">
        <v>364</v>
      </c>
      <c r="C56" s="18" t="s">
        <v>35</v>
      </c>
      <c r="D56" s="150">
        <v>0</v>
      </c>
      <c r="E56" s="129"/>
      <c r="F56" s="159"/>
      <c r="G56" s="129"/>
      <c r="H56" s="217"/>
      <c r="I56" s="217"/>
      <c r="J56" s="217"/>
      <c r="K56" s="122"/>
    </row>
    <row r="57" spans="1:11" ht="57">
      <c r="A57" s="221" t="s">
        <v>83</v>
      </c>
      <c r="B57" s="323" t="s">
        <v>204</v>
      </c>
      <c r="C57" s="286" t="s">
        <v>35</v>
      </c>
      <c r="D57" s="224">
        <f t="shared" ref="D57:D61" si="7">SUM(E57:K57)</f>
        <v>9206</v>
      </c>
      <c r="E57" s="120">
        <f t="shared" ref="E57:K57" si="8">E58+E65+E74</f>
        <v>1500</v>
      </c>
      <c r="F57" s="156">
        <f t="shared" si="8"/>
        <v>1206</v>
      </c>
      <c r="G57" s="120">
        <f>G58+G65+G74</f>
        <v>600</v>
      </c>
      <c r="H57" s="308">
        <f>H58+H65+H74+H63</f>
        <v>1100</v>
      </c>
      <c r="I57" s="120">
        <f t="shared" si="8"/>
        <v>2500</v>
      </c>
      <c r="J57" s="120">
        <f t="shared" si="8"/>
        <v>800</v>
      </c>
      <c r="K57" s="130">
        <f t="shared" si="8"/>
        <v>1500</v>
      </c>
    </row>
    <row r="58" spans="1:11" s="113" customFormat="1" ht="15">
      <c r="A58" s="221" t="s">
        <v>147</v>
      </c>
      <c r="B58" s="134" t="s">
        <v>148</v>
      </c>
      <c r="C58" s="286" t="s">
        <v>35</v>
      </c>
      <c r="D58" s="151">
        <f t="shared" si="7"/>
        <v>4156</v>
      </c>
      <c r="E58" s="124">
        <f t="shared" ref="E58:K58" si="9">SUM(E59:E62)</f>
        <v>1500</v>
      </c>
      <c r="F58" s="160">
        <f>SUM(F59:F63)</f>
        <v>1156</v>
      </c>
      <c r="G58" s="160">
        <f>SUM(G59:G63)</f>
        <v>500</v>
      </c>
      <c r="H58" s="151">
        <f t="shared" si="9"/>
        <v>0</v>
      </c>
      <c r="I58" s="124">
        <f t="shared" si="9"/>
        <v>1000</v>
      </c>
      <c r="J58" s="124">
        <f t="shared" si="9"/>
        <v>0</v>
      </c>
      <c r="K58" s="135">
        <f t="shared" si="9"/>
        <v>0</v>
      </c>
    </row>
    <row r="59" spans="1:11" ht="42" customHeight="1">
      <c r="A59" s="215" t="s">
        <v>149</v>
      </c>
      <c r="B59" s="279" t="s">
        <v>186</v>
      </c>
      <c r="C59" s="212" t="s">
        <v>35</v>
      </c>
      <c r="D59" s="151">
        <f t="shared" si="7"/>
        <v>2094</v>
      </c>
      <c r="E59" s="217">
        <v>720</v>
      </c>
      <c r="F59" s="220">
        <v>874</v>
      </c>
      <c r="G59" s="217">
        <v>500</v>
      </c>
      <c r="H59" s="217"/>
      <c r="I59" s="219"/>
      <c r="J59" s="219"/>
      <c r="K59" s="222"/>
    </row>
    <row r="60" spans="1:11" ht="25.5">
      <c r="A60" s="215" t="s">
        <v>150</v>
      </c>
      <c r="B60" s="314" t="s">
        <v>187</v>
      </c>
      <c r="C60" s="212" t="s">
        <v>35</v>
      </c>
      <c r="D60" s="151">
        <f>SUM(E60:K60)</f>
        <v>1040</v>
      </c>
      <c r="E60" s="217"/>
      <c r="F60" s="220">
        <v>40</v>
      </c>
      <c r="G60" s="217"/>
      <c r="H60" s="217"/>
      <c r="I60" s="317">
        <v>1000</v>
      </c>
      <c r="J60" s="219"/>
      <c r="K60" s="222"/>
    </row>
    <row r="61" spans="1:11" ht="25.5">
      <c r="A61" s="215" t="s">
        <v>151</v>
      </c>
      <c r="B61" s="324" t="s">
        <v>416</v>
      </c>
      <c r="C61" s="212" t="s">
        <v>35</v>
      </c>
      <c r="D61" s="151">
        <f t="shared" si="7"/>
        <v>0</v>
      </c>
      <c r="E61" s="217"/>
      <c r="F61" s="220">
        <v>0</v>
      </c>
      <c r="G61" s="217">
        <v>0</v>
      </c>
      <c r="H61" s="273">
        <v>0</v>
      </c>
      <c r="I61" s="219"/>
      <c r="J61" s="219"/>
      <c r="K61" s="222"/>
    </row>
    <row r="62" spans="1:11" ht="25.5">
      <c r="A62" s="215" t="s">
        <v>152</v>
      </c>
      <c r="B62" s="291" t="s">
        <v>365</v>
      </c>
      <c r="C62" s="212" t="s">
        <v>35</v>
      </c>
      <c r="D62" s="151">
        <f>SUM(E62:K62)</f>
        <v>1022</v>
      </c>
      <c r="E62" s="217">
        <v>780</v>
      </c>
      <c r="F62" s="220">
        <v>242</v>
      </c>
      <c r="G62" s="217"/>
      <c r="H62" s="217"/>
      <c r="I62" s="219"/>
      <c r="J62" s="219"/>
      <c r="K62" s="222"/>
    </row>
    <row r="63" spans="1:11" ht="45" customHeight="1">
      <c r="A63" s="255" t="s">
        <v>328</v>
      </c>
      <c r="B63" s="319" t="s">
        <v>330</v>
      </c>
      <c r="C63" s="254" t="s">
        <v>35</v>
      </c>
      <c r="D63" s="151">
        <f>SUM(E63:K63)</f>
        <v>0</v>
      </c>
      <c r="E63" s="217"/>
      <c r="F63" s="220">
        <v>0</v>
      </c>
      <c r="G63" s="217">
        <v>0</v>
      </c>
      <c r="H63" s="217">
        <v>0</v>
      </c>
      <c r="I63" s="219"/>
      <c r="J63" s="219"/>
      <c r="K63" s="222"/>
    </row>
    <row r="64" spans="1:11" ht="34.5" hidden="1" customHeight="1">
      <c r="A64" s="255" t="s">
        <v>329</v>
      </c>
      <c r="B64" s="260"/>
      <c r="C64" s="254"/>
      <c r="D64" s="151">
        <f t="shared" ref="D64:D65" si="10">SUM(E64:K64)</f>
        <v>0</v>
      </c>
      <c r="E64" s="256"/>
      <c r="F64" s="258"/>
      <c r="G64" s="256"/>
      <c r="H64" s="256"/>
      <c r="I64" s="257"/>
      <c r="J64" s="257"/>
      <c r="K64" s="259"/>
    </row>
    <row r="65" spans="1:11" ht="15">
      <c r="A65" s="221" t="s">
        <v>153</v>
      </c>
      <c r="B65" s="134" t="s">
        <v>154</v>
      </c>
      <c r="C65" s="286" t="s">
        <v>35</v>
      </c>
      <c r="D65" s="151">
        <f t="shared" si="10"/>
        <v>3300</v>
      </c>
      <c r="E65" s="124">
        <f t="shared" ref="E65:K65" si="11">SUM(E66:E73)</f>
        <v>0</v>
      </c>
      <c r="F65" s="160">
        <f t="shared" si="11"/>
        <v>0</v>
      </c>
      <c r="G65" s="124">
        <f t="shared" si="11"/>
        <v>0</v>
      </c>
      <c r="H65" s="124">
        <f t="shared" si="11"/>
        <v>1000</v>
      </c>
      <c r="I65" s="124">
        <f t="shared" si="11"/>
        <v>1500</v>
      </c>
      <c r="J65" s="124">
        <f t="shared" si="11"/>
        <v>800</v>
      </c>
      <c r="K65" s="135">
        <f t="shared" si="11"/>
        <v>0</v>
      </c>
    </row>
    <row r="66" spans="1:11" ht="38.25">
      <c r="A66" s="215" t="s">
        <v>155</v>
      </c>
      <c r="B66" s="314" t="s">
        <v>188</v>
      </c>
      <c r="C66" s="212" t="s">
        <v>35</v>
      </c>
      <c r="D66" s="151">
        <f>SUM(E66:K66)</f>
        <v>0</v>
      </c>
      <c r="E66" s="217"/>
      <c r="F66" s="220"/>
      <c r="G66" s="217"/>
      <c r="H66" s="217">
        <v>0</v>
      </c>
      <c r="I66" s="217">
        <f>200-200</f>
        <v>0</v>
      </c>
      <c r="J66" s="217"/>
      <c r="K66" s="222"/>
    </row>
    <row r="67" spans="1:11" ht="25.5">
      <c r="A67" s="390" t="s">
        <v>156</v>
      </c>
      <c r="B67" s="320" t="s">
        <v>189</v>
      </c>
      <c r="C67" s="388" t="s">
        <v>35</v>
      </c>
      <c r="D67" s="522"/>
      <c r="E67" s="496"/>
      <c r="F67" s="497"/>
      <c r="G67" s="496">
        <v>0</v>
      </c>
      <c r="H67" s="496">
        <v>1000</v>
      </c>
      <c r="I67" s="496">
        <f>1500</f>
        <v>1500</v>
      </c>
      <c r="J67" s="496"/>
      <c r="K67" s="491"/>
    </row>
    <row r="68" spans="1:11">
      <c r="A68" s="390"/>
      <c r="B68" s="223" t="s">
        <v>190</v>
      </c>
      <c r="C68" s="388"/>
      <c r="D68" s="522"/>
      <c r="E68" s="496"/>
      <c r="F68" s="497"/>
      <c r="G68" s="496"/>
      <c r="H68" s="496"/>
      <c r="I68" s="496"/>
      <c r="J68" s="496"/>
      <c r="K68" s="491"/>
    </row>
    <row r="69" spans="1:11" ht="25.5">
      <c r="A69" s="215" t="s">
        <v>157</v>
      </c>
      <c r="B69" s="314" t="s">
        <v>191</v>
      </c>
      <c r="C69" s="212" t="s">
        <v>35</v>
      </c>
      <c r="D69" s="151">
        <f t="shared" ref="D69:D75" si="12">SUM(E69:K69)</f>
        <v>0</v>
      </c>
      <c r="E69" s="217"/>
      <c r="F69" s="220"/>
      <c r="G69" s="217"/>
      <c r="H69" s="217">
        <v>0</v>
      </c>
      <c r="I69" s="217"/>
      <c r="J69" s="217"/>
      <c r="K69" s="222"/>
    </row>
    <row r="70" spans="1:11" ht="25.5">
      <c r="A70" s="215" t="s">
        <v>158</v>
      </c>
      <c r="B70" s="223" t="s">
        <v>192</v>
      </c>
      <c r="C70" s="212" t="s">
        <v>35</v>
      </c>
      <c r="D70" s="151">
        <f t="shared" si="12"/>
        <v>0</v>
      </c>
      <c r="E70" s="217"/>
      <c r="F70" s="220"/>
      <c r="G70" s="217"/>
      <c r="H70" s="217"/>
      <c r="I70" s="217">
        <f>300-300</f>
        <v>0</v>
      </c>
      <c r="J70" s="217"/>
      <c r="K70" s="222"/>
    </row>
    <row r="71" spans="1:11" ht="74.25" customHeight="1">
      <c r="A71" s="215" t="s">
        <v>159</v>
      </c>
      <c r="B71" s="281" t="s">
        <v>342</v>
      </c>
      <c r="C71" s="212" t="s">
        <v>35</v>
      </c>
      <c r="D71" s="151">
        <f t="shared" si="12"/>
        <v>300</v>
      </c>
      <c r="E71" s="217"/>
      <c r="F71" s="220"/>
      <c r="G71" s="217"/>
      <c r="H71" s="217"/>
      <c r="I71" s="217">
        <f>700-700</f>
        <v>0</v>
      </c>
      <c r="J71" s="217">
        <v>300</v>
      </c>
      <c r="K71" s="222"/>
    </row>
    <row r="72" spans="1:11" ht="38.25">
      <c r="A72" s="215" t="s">
        <v>160</v>
      </c>
      <c r="B72" s="223" t="s">
        <v>193</v>
      </c>
      <c r="C72" s="212" t="s">
        <v>35</v>
      </c>
      <c r="D72" s="151">
        <f t="shared" si="12"/>
        <v>500</v>
      </c>
      <c r="E72" s="217"/>
      <c r="F72" s="220"/>
      <c r="G72" s="217"/>
      <c r="H72" s="217"/>
      <c r="I72" s="217">
        <f>200-200</f>
        <v>0</v>
      </c>
      <c r="J72" s="217">
        <v>500</v>
      </c>
      <c r="K72" s="222"/>
    </row>
    <row r="73" spans="1:11" ht="38.25">
      <c r="A73" s="215" t="s">
        <v>161</v>
      </c>
      <c r="B73" s="314" t="s">
        <v>194</v>
      </c>
      <c r="C73" s="212" t="s">
        <v>35</v>
      </c>
      <c r="D73" s="151">
        <f t="shared" si="12"/>
        <v>0</v>
      </c>
      <c r="E73" s="217"/>
      <c r="F73" s="220"/>
      <c r="G73" s="217"/>
      <c r="H73" s="217">
        <v>0</v>
      </c>
      <c r="I73" s="217"/>
      <c r="J73" s="217"/>
      <c r="K73" s="222"/>
    </row>
    <row r="74" spans="1:11" ht="30.75" customHeight="1">
      <c r="A74" s="221" t="s">
        <v>195</v>
      </c>
      <c r="B74" s="134" t="s">
        <v>162</v>
      </c>
      <c r="C74" s="286" t="s">
        <v>35</v>
      </c>
      <c r="D74" s="151">
        <f t="shared" si="12"/>
        <v>1750</v>
      </c>
      <c r="E74" s="124">
        <f t="shared" ref="E74:K74" si="13">SUM(E75)</f>
        <v>0</v>
      </c>
      <c r="F74" s="160">
        <f t="shared" si="13"/>
        <v>50</v>
      </c>
      <c r="G74" s="124">
        <f t="shared" si="13"/>
        <v>100</v>
      </c>
      <c r="H74" s="124">
        <f t="shared" si="13"/>
        <v>100</v>
      </c>
      <c r="I74" s="124">
        <f t="shared" si="13"/>
        <v>0</v>
      </c>
      <c r="J74" s="124">
        <f t="shared" si="13"/>
        <v>0</v>
      </c>
      <c r="K74" s="135">
        <f t="shared" si="13"/>
        <v>1500</v>
      </c>
    </row>
    <row r="75" spans="1:11" ht="54" customHeight="1" thickBot="1">
      <c r="A75" s="117" t="s">
        <v>196</v>
      </c>
      <c r="B75" s="118" t="s">
        <v>197</v>
      </c>
      <c r="C75" s="119" t="s">
        <v>35</v>
      </c>
      <c r="D75" s="293">
        <f t="shared" si="12"/>
        <v>1750</v>
      </c>
      <c r="E75" s="125"/>
      <c r="F75" s="161">
        <v>50</v>
      </c>
      <c r="G75" s="125">
        <v>100</v>
      </c>
      <c r="H75" s="125">
        <v>100</v>
      </c>
      <c r="I75" s="126"/>
      <c r="J75" s="126"/>
      <c r="K75" s="131">
        <v>1500</v>
      </c>
    </row>
    <row r="76" spans="1:11" ht="15">
      <c r="A76" s="2"/>
    </row>
    <row r="77" spans="1:11" ht="52.5" customHeight="1">
      <c r="A77" s="349"/>
      <c r="B77" s="490"/>
      <c r="C77" s="72"/>
      <c r="D77" s="78"/>
      <c r="E77" s="78"/>
      <c r="F77" s="162"/>
      <c r="G77" s="78"/>
      <c r="H77" s="78"/>
      <c r="I77" s="78"/>
      <c r="J77" s="78"/>
      <c r="K77" s="78"/>
    </row>
    <row r="78" spans="1:11">
      <c r="A78" s="349"/>
      <c r="B78" s="490"/>
      <c r="C78" s="72"/>
      <c r="D78" s="78"/>
      <c r="E78" s="78"/>
      <c r="F78" s="162"/>
      <c r="G78" s="78"/>
      <c r="H78" s="78"/>
      <c r="I78" s="78"/>
      <c r="J78" s="78"/>
      <c r="K78" s="78"/>
    </row>
    <row r="79" spans="1:11" ht="42" customHeight="1">
      <c r="A79" s="349"/>
      <c r="B79" s="490"/>
      <c r="C79" s="72"/>
      <c r="D79" s="78"/>
      <c r="E79" s="78"/>
      <c r="F79" s="162"/>
      <c r="G79" s="78"/>
      <c r="H79" s="78"/>
      <c r="I79" s="78"/>
      <c r="J79" s="78"/>
      <c r="K79" s="78"/>
    </row>
    <row r="80" spans="1:11">
      <c r="A80" s="349"/>
      <c r="B80" s="490"/>
      <c r="C80" s="72"/>
      <c r="D80" s="78"/>
      <c r="E80" s="78"/>
      <c r="F80" s="162"/>
      <c r="G80" s="78"/>
      <c r="H80" s="78"/>
      <c r="I80" s="78"/>
      <c r="J80" s="78"/>
      <c r="K80" s="78"/>
    </row>
    <row r="81" spans="1:11" ht="43.5" customHeight="1">
      <c r="A81" s="349"/>
      <c r="B81" s="490"/>
      <c r="C81" s="72"/>
      <c r="D81" s="77"/>
      <c r="E81" s="77"/>
      <c r="F81" s="163"/>
      <c r="G81" s="77"/>
      <c r="H81" s="77"/>
      <c r="I81" s="77"/>
      <c r="J81" s="77"/>
      <c r="K81" s="77"/>
    </row>
    <row r="82" spans="1:11">
      <c r="A82" s="349"/>
      <c r="B82" s="490"/>
      <c r="C82" s="72"/>
      <c r="D82" s="77"/>
      <c r="E82" s="77"/>
      <c r="F82" s="163"/>
      <c r="G82" s="77"/>
      <c r="H82" s="77"/>
      <c r="I82" s="77"/>
      <c r="J82" s="77"/>
      <c r="K82" s="77"/>
    </row>
    <row r="83" spans="1:11" ht="42" customHeight="1">
      <c r="A83" s="349"/>
      <c r="B83" s="490"/>
      <c r="C83" s="72"/>
      <c r="D83" s="77"/>
      <c r="E83" s="77"/>
      <c r="F83" s="163"/>
      <c r="G83" s="77"/>
      <c r="H83" s="77"/>
      <c r="I83" s="77"/>
      <c r="J83" s="77"/>
      <c r="K83" s="77"/>
    </row>
    <row r="84" spans="1:11">
      <c r="A84" s="349"/>
      <c r="B84" s="490"/>
      <c r="C84" s="72"/>
      <c r="D84" s="77"/>
      <c r="E84" s="77"/>
      <c r="F84" s="163"/>
      <c r="G84" s="77"/>
      <c r="H84" s="77"/>
      <c r="I84" s="77"/>
      <c r="J84" s="77"/>
      <c r="K84" s="77"/>
    </row>
    <row r="85" spans="1:11" ht="41.25" customHeight="1">
      <c r="A85" s="349"/>
      <c r="B85" s="490"/>
      <c r="C85" s="72"/>
      <c r="D85" s="77"/>
      <c r="E85" s="77"/>
      <c r="F85" s="163"/>
      <c r="G85" s="77"/>
      <c r="H85" s="77"/>
      <c r="I85" s="77"/>
      <c r="J85" s="77"/>
      <c r="K85" s="77"/>
    </row>
    <row r="86" spans="1:11">
      <c r="A86" s="349"/>
      <c r="B86" s="490"/>
      <c r="C86" s="72"/>
      <c r="D86" s="77"/>
      <c r="E86" s="77"/>
      <c r="F86" s="163"/>
      <c r="G86" s="77"/>
      <c r="H86" s="77"/>
      <c r="I86" s="77"/>
      <c r="J86" s="77"/>
      <c r="K86" s="77"/>
    </row>
    <row r="87" spans="1:11">
      <c r="A87" s="345"/>
      <c r="B87" s="509"/>
      <c r="C87" s="74"/>
      <c r="D87" s="76"/>
      <c r="E87" s="74"/>
      <c r="F87" s="164"/>
      <c r="G87" s="76"/>
      <c r="H87" s="76"/>
      <c r="I87" s="76"/>
      <c r="J87" s="76"/>
      <c r="K87" s="76"/>
    </row>
    <row r="88" spans="1:11">
      <c r="A88" s="345"/>
      <c r="B88" s="509"/>
      <c r="C88" s="74"/>
      <c r="D88" s="76"/>
      <c r="E88" s="74"/>
      <c r="F88" s="164"/>
      <c r="G88" s="76"/>
      <c r="H88" s="76"/>
      <c r="I88" s="76"/>
      <c r="J88" s="76"/>
      <c r="K88" s="76"/>
    </row>
    <row r="89" spans="1:11" ht="34.5" customHeight="1">
      <c r="A89" s="349"/>
      <c r="B89" s="508"/>
      <c r="C89" s="72"/>
      <c r="D89" s="74"/>
      <c r="E89" s="74"/>
      <c r="F89" s="165"/>
      <c r="G89" s="74"/>
      <c r="H89" s="74"/>
      <c r="I89" s="74"/>
      <c r="J89" s="74"/>
      <c r="K89" s="74"/>
    </row>
    <row r="90" spans="1:11" ht="15" customHeight="1">
      <c r="A90" s="349"/>
      <c r="B90" s="508"/>
      <c r="C90" s="72"/>
      <c r="D90" s="74"/>
      <c r="E90" s="74"/>
      <c r="F90" s="165"/>
      <c r="G90" s="74"/>
      <c r="H90" s="74"/>
      <c r="I90" s="74"/>
      <c r="J90" s="74"/>
      <c r="K90" s="74"/>
    </row>
    <row r="91" spans="1:11" ht="54.75" customHeight="1">
      <c r="A91" s="349"/>
      <c r="B91" s="514"/>
      <c r="C91" s="70"/>
      <c r="D91" s="74"/>
      <c r="E91" s="74"/>
      <c r="F91" s="165"/>
      <c r="G91" s="74"/>
      <c r="H91" s="74"/>
      <c r="I91" s="74"/>
      <c r="J91" s="74"/>
      <c r="K91" s="74"/>
    </row>
    <row r="92" spans="1:11">
      <c r="A92" s="349"/>
      <c r="B92" s="514"/>
      <c r="C92" s="70"/>
      <c r="D92" s="74"/>
      <c r="E92" s="74"/>
      <c r="F92" s="165"/>
      <c r="G92" s="74"/>
      <c r="H92" s="74"/>
      <c r="I92" s="74"/>
      <c r="J92" s="74"/>
      <c r="K92" s="74"/>
    </row>
    <row r="93" spans="1:11" ht="31.5" customHeight="1">
      <c r="A93" s="349"/>
      <c r="B93" s="490"/>
      <c r="C93" s="72"/>
      <c r="D93" s="74"/>
      <c r="E93" s="74"/>
      <c r="F93" s="165"/>
      <c r="G93" s="74"/>
      <c r="H93" s="74"/>
      <c r="I93" s="74"/>
      <c r="J93" s="74"/>
      <c r="K93" s="74"/>
    </row>
    <row r="94" spans="1:11">
      <c r="A94" s="349"/>
      <c r="B94" s="490"/>
      <c r="C94" s="72"/>
      <c r="D94" s="74"/>
      <c r="E94" s="74"/>
      <c r="F94" s="165"/>
      <c r="G94" s="74"/>
      <c r="H94" s="74"/>
      <c r="I94" s="74"/>
      <c r="J94" s="74"/>
      <c r="K94" s="74"/>
    </row>
    <row r="95" spans="1:11">
      <c r="A95" s="345"/>
      <c r="B95" s="509"/>
      <c r="C95" s="74"/>
      <c r="D95" s="76"/>
      <c r="E95" s="74"/>
      <c r="F95" s="164"/>
      <c r="G95" s="74"/>
      <c r="H95" s="74"/>
      <c r="I95" s="74"/>
      <c r="J95" s="74"/>
      <c r="K95" s="74"/>
    </row>
    <row r="96" spans="1:11">
      <c r="A96" s="345"/>
      <c r="B96" s="509"/>
      <c r="C96" s="74"/>
      <c r="D96" s="76"/>
      <c r="E96" s="74"/>
      <c r="F96" s="164"/>
      <c r="G96" s="74"/>
      <c r="H96" s="74"/>
      <c r="I96" s="74"/>
      <c r="J96" s="74"/>
      <c r="K96" s="74"/>
    </row>
    <row r="97" spans="1:11" ht="27.75" customHeight="1">
      <c r="A97" s="337"/>
      <c r="B97" s="508"/>
      <c r="C97" s="72"/>
      <c r="D97" s="73"/>
      <c r="E97" s="72"/>
      <c r="F97" s="166"/>
      <c r="G97" s="72"/>
      <c r="H97" s="72"/>
      <c r="I97" s="72"/>
      <c r="J97" s="72"/>
      <c r="K97" s="72"/>
    </row>
    <row r="98" spans="1:11">
      <c r="A98" s="337"/>
      <c r="B98" s="508"/>
      <c r="C98" s="72"/>
      <c r="D98" s="73"/>
      <c r="E98" s="72"/>
      <c r="F98" s="166"/>
      <c r="G98" s="72"/>
      <c r="H98" s="72"/>
      <c r="I98" s="72"/>
      <c r="J98" s="72"/>
      <c r="K98" s="72"/>
    </row>
    <row r="99" spans="1:11" ht="27" customHeight="1">
      <c r="A99" s="337"/>
      <c r="B99" s="508"/>
      <c r="C99" s="72"/>
      <c r="D99" s="73"/>
      <c r="E99" s="72"/>
      <c r="F99" s="166"/>
      <c r="G99" s="72"/>
      <c r="H99" s="72"/>
      <c r="I99" s="72"/>
      <c r="J99" s="72"/>
      <c r="K99" s="72"/>
    </row>
    <row r="100" spans="1:11">
      <c r="A100" s="337"/>
      <c r="B100" s="508"/>
      <c r="C100" s="72"/>
      <c r="D100" s="73"/>
      <c r="E100" s="72"/>
      <c r="F100" s="166"/>
      <c r="G100" s="72"/>
      <c r="H100" s="72"/>
      <c r="I100" s="72"/>
      <c r="J100" s="72"/>
      <c r="K100" s="72"/>
    </row>
    <row r="101" spans="1:11" ht="28.5" customHeight="1">
      <c r="A101" s="343"/>
      <c r="B101" s="507"/>
      <c r="C101" s="71"/>
      <c r="D101" s="75"/>
      <c r="E101" s="71"/>
      <c r="F101" s="167"/>
      <c r="G101" s="71"/>
      <c r="H101" s="71"/>
      <c r="I101" s="71"/>
      <c r="J101" s="71"/>
      <c r="K101" s="71"/>
    </row>
    <row r="102" spans="1:11" ht="14.25">
      <c r="A102" s="343"/>
      <c r="B102" s="507"/>
      <c r="C102" s="71"/>
      <c r="D102" s="75"/>
      <c r="E102" s="75"/>
      <c r="F102" s="168"/>
      <c r="G102" s="75"/>
      <c r="H102" s="75"/>
      <c r="I102" s="75"/>
      <c r="J102" s="75"/>
      <c r="K102" s="75"/>
    </row>
    <row r="103" spans="1:11" ht="24" customHeight="1">
      <c r="A103" s="345"/>
      <c r="B103" s="513"/>
      <c r="C103" s="79"/>
      <c r="D103" s="80"/>
      <c r="E103" s="80"/>
      <c r="F103" s="169"/>
      <c r="G103" s="80"/>
      <c r="H103" s="80"/>
      <c r="I103" s="80"/>
      <c r="J103" s="80"/>
      <c r="K103" s="80"/>
    </row>
    <row r="104" spans="1:11" ht="13.5">
      <c r="A104" s="345"/>
      <c r="B104" s="513"/>
      <c r="C104" s="79"/>
      <c r="D104" s="80"/>
      <c r="E104" s="80"/>
      <c r="F104" s="169"/>
      <c r="G104" s="80"/>
      <c r="H104" s="80"/>
      <c r="I104" s="80"/>
      <c r="J104" s="80"/>
      <c r="K104" s="80"/>
    </row>
    <row r="105" spans="1:11" ht="27" customHeight="1">
      <c r="A105" s="349"/>
      <c r="B105" s="510"/>
      <c r="C105" s="72"/>
      <c r="D105" s="81"/>
      <c r="E105" s="82"/>
      <c r="F105" s="170"/>
      <c r="G105" s="81"/>
      <c r="H105" s="81"/>
      <c r="I105" s="82"/>
      <c r="J105" s="82"/>
      <c r="K105" s="82"/>
    </row>
    <row r="106" spans="1:11" ht="15.75">
      <c r="A106" s="349"/>
      <c r="B106" s="510"/>
      <c r="C106" s="72"/>
      <c r="D106" s="73"/>
      <c r="E106" s="82"/>
      <c r="F106" s="170"/>
      <c r="G106" s="81"/>
      <c r="H106" s="81"/>
      <c r="I106" s="82"/>
      <c r="J106" s="82"/>
      <c r="K106" s="82"/>
    </row>
    <row r="107" spans="1:11" ht="26.25" customHeight="1">
      <c r="A107" s="349"/>
      <c r="B107" s="511"/>
      <c r="C107" s="72"/>
      <c r="D107" s="73"/>
      <c r="E107" s="70"/>
      <c r="F107" s="171"/>
      <c r="G107" s="81"/>
      <c r="H107" s="81"/>
      <c r="I107" s="70"/>
      <c r="J107" s="70"/>
      <c r="K107" s="70"/>
    </row>
    <row r="108" spans="1:11">
      <c r="A108" s="349"/>
      <c r="B108" s="511"/>
      <c r="C108" s="72"/>
      <c r="D108" s="73"/>
      <c r="E108" s="70"/>
      <c r="F108" s="171"/>
      <c r="G108" s="81"/>
      <c r="H108" s="81"/>
      <c r="I108" s="70"/>
      <c r="J108" s="70"/>
      <c r="K108" s="70"/>
    </row>
    <row r="109" spans="1:11" ht="30" customHeight="1">
      <c r="A109" s="349"/>
      <c r="B109" s="510"/>
      <c r="C109" s="72"/>
      <c r="D109" s="81"/>
      <c r="E109" s="70"/>
      <c r="F109" s="171"/>
      <c r="G109" s="70"/>
      <c r="H109" s="70"/>
      <c r="I109" s="81"/>
      <c r="J109" s="70"/>
      <c r="K109" s="70"/>
    </row>
    <row r="110" spans="1:11">
      <c r="A110" s="349"/>
      <c r="B110" s="510"/>
      <c r="C110" s="72"/>
      <c r="D110" s="73"/>
      <c r="E110" s="70"/>
      <c r="F110" s="171"/>
      <c r="G110" s="70"/>
      <c r="H110" s="70"/>
      <c r="I110" s="81"/>
      <c r="J110" s="70"/>
      <c r="K110" s="70"/>
    </row>
    <row r="111" spans="1:11">
      <c r="A111" s="25"/>
      <c r="B111" s="77"/>
      <c r="C111" s="70"/>
      <c r="D111" s="73"/>
      <c r="E111" s="70"/>
      <c r="F111" s="172"/>
      <c r="G111" s="70"/>
      <c r="H111" s="70"/>
      <c r="I111" s="70"/>
      <c r="J111" s="70"/>
      <c r="K111" s="70"/>
    </row>
    <row r="112" spans="1:11" ht="26.25" customHeight="1">
      <c r="A112" s="349"/>
      <c r="B112" s="512"/>
      <c r="C112" s="79"/>
      <c r="D112" s="76"/>
      <c r="E112" s="76"/>
      <c r="F112" s="164"/>
      <c r="G112" s="76"/>
      <c r="H112" s="76"/>
      <c r="I112" s="76"/>
      <c r="J112" s="76"/>
      <c r="K112" s="76"/>
    </row>
    <row r="113" spans="1:11" ht="13.5">
      <c r="A113" s="349"/>
      <c r="B113" s="512"/>
      <c r="C113" s="79"/>
      <c r="D113" s="76"/>
      <c r="E113" s="76"/>
      <c r="F113" s="164"/>
      <c r="G113" s="76"/>
      <c r="H113" s="76"/>
      <c r="I113" s="76"/>
      <c r="J113" s="76"/>
      <c r="K113" s="76"/>
    </row>
    <row r="114" spans="1:11" ht="30" customHeight="1">
      <c r="A114" s="349"/>
      <c r="B114" s="510"/>
      <c r="C114" s="72"/>
      <c r="D114" s="81"/>
      <c r="E114" s="70"/>
      <c r="F114" s="171"/>
      <c r="G114" s="70"/>
      <c r="H114" s="70"/>
      <c r="I114" s="70"/>
      <c r="J114" s="81"/>
      <c r="K114" s="82"/>
    </row>
    <row r="115" spans="1:11" ht="15.75">
      <c r="A115" s="349"/>
      <c r="B115" s="510"/>
      <c r="C115" s="72"/>
      <c r="D115" s="81"/>
      <c r="E115" s="70"/>
      <c r="F115" s="171"/>
      <c r="G115" s="70"/>
      <c r="H115" s="70"/>
      <c r="I115" s="70"/>
      <c r="J115" s="81"/>
      <c r="K115" s="82"/>
    </row>
    <row r="116" spans="1:11" ht="95.25" customHeight="1">
      <c r="A116" s="349"/>
      <c r="B116" s="510"/>
      <c r="C116" s="70"/>
      <c r="D116" s="81"/>
      <c r="E116" s="70"/>
      <c r="F116" s="172"/>
      <c r="G116" s="70"/>
      <c r="H116" s="70"/>
      <c r="I116" s="70"/>
      <c r="J116" s="70"/>
      <c r="K116" s="82"/>
    </row>
    <row r="117" spans="1:11" ht="15.75">
      <c r="A117" s="349"/>
      <c r="B117" s="510"/>
      <c r="C117" s="70"/>
      <c r="D117" s="81"/>
      <c r="E117" s="81"/>
      <c r="F117" s="172"/>
      <c r="G117" s="70"/>
      <c r="H117" s="70"/>
      <c r="I117" s="70"/>
      <c r="J117" s="70"/>
      <c r="K117" s="82"/>
    </row>
    <row r="118" spans="1:11" ht="67.5" customHeight="1">
      <c r="A118" s="25"/>
      <c r="B118" s="77"/>
      <c r="C118" s="70"/>
      <c r="D118" s="81"/>
      <c r="E118" s="70"/>
      <c r="F118" s="171"/>
      <c r="G118" s="81"/>
      <c r="H118" s="70"/>
      <c r="I118" s="70"/>
      <c r="J118" s="82"/>
      <c r="K118" s="82"/>
    </row>
    <row r="119" spans="1:11" ht="29.25" customHeight="1">
      <c r="A119" s="337"/>
      <c r="B119" s="511"/>
      <c r="C119" s="72"/>
      <c r="D119" s="81"/>
      <c r="E119" s="70"/>
      <c r="F119" s="171"/>
      <c r="G119" s="70"/>
      <c r="H119" s="70"/>
      <c r="I119" s="81"/>
      <c r="J119" s="82"/>
      <c r="K119" s="82"/>
    </row>
    <row r="120" spans="1:11" ht="15.75">
      <c r="A120" s="337"/>
      <c r="B120" s="511"/>
      <c r="C120" s="72"/>
      <c r="D120" s="81"/>
      <c r="E120" s="70"/>
      <c r="F120" s="171"/>
      <c r="G120" s="70"/>
      <c r="H120" s="70"/>
      <c r="I120" s="81"/>
      <c r="J120" s="82"/>
      <c r="K120" s="82"/>
    </row>
    <row r="121" spans="1:11" ht="26.25" customHeight="1">
      <c r="A121" s="337"/>
      <c r="B121" s="511"/>
      <c r="C121" s="72"/>
      <c r="D121" s="81"/>
      <c r="E121" s="70"/>
      <c r="F121" s="171"/>
      <c r="G121" s="70"/>
      <c r="H121" s="70"/>
      <c r="I121" s="81"/>
      <c r="J121" s="82"/>
      <c r="K121" s="82"/>
    </row>
    <row r="122" spans="1:11" ht="21.75" customHeight="1">
      <c r="A122" s="337"/>
      <c r="B122" s="511"/>
      <c r="C122" s="72"/>
      <c r="D122" s="81"/>
      <c r="E122" s="70"/>
      <c r="F122" s="171"/>
      <c r="G122" s="70"/>
      <c r="H122" s="70"/>
      <c r="I122" s="81"/>
      <c r="J122" s="82"/>
      <c r="K122" s="82"/>
    </row>
    <row r="123" spans="1:11" ht="38.25" customHeight="1">
      <c r="A123" s="349"/>
      <c r="B123" s="510"/>
      <c r="C123" s="72"/>
      <c r="D123" s="81"/>
      <c r="E123" s="70"/>
      <c r="F123" s="171"/>
      <c r="G123" s="70"/>
      <c r="H123" s="70"/>
      <c r="I123" s="70"/>
      <c r="J123" s="81"/>
      <c r="K123" s="70"/>
    </row>
    <row r="124" spans="1:11">
      <c r="A124" s="349"/>
      <c r="B124" s="510"/>
      <c r="C124" s="72"/>
      <c r="D124" s="81"/>
      <c r="E124" s="70"/>
      <c r="F124" s="171"/>
      <c r="G124" s="70"/>
      <c r="H124" s="70"/>
      <c r="I124" s="70"/>
      <c r="J124" s="81"/>
      <c r="K124" s="70"/>
    </row>
    <row r="125" spans="1:11" ht="40.5" customHeight="1">
      <c r="A125" s="349"/>
      <c r="B125" s="510"/>
      <c r="C125" s="72"/>
      <c r="D125" s="81"/>
      <c r="E125" s="70"/>
      <c r="F125" s="171"/>
      <c r="G125" s="70"/>
      <c r="H125" s="81"/>
      <c r="I125" s="70"/>
      <c r="J125" s="70"/>
      <c r="K125" s="70"/>
    </row>
    <row r="126" spans="1:11">
      <c r="A126" s="349"/>
      <c r="B126" s="510"/>
      <c r="C126" s="72"/>
      <c r="D126" s="81"/>
      <c r="E126" s="70"/>
      <c r="F126" s="171"/>
      <c r="G126" s="70"/>
      <c r="H126" s="81"/>
      <c r="I126" s="70"/>
      <c r="J126" s="70"/>
      <c r="K126" s="70"/>
    </row>
    <row r="127" spans="1:11" ht="39.75" customHeight="1">
      <c r="A127" s="349"/>
      <c r="B127" s="510"/>
      <c r="C127" s="72"/>
      <c r="D127" s="81"/>
      <c r="E127" s="70"/>
      <c r="F127" s="171"/>
      <c r="G127" s="70"/>
      <c r="H127" s="70"/>
      <c r="I127" s="70"/>
      <c r="J127" s="70"/>
      <c r="K127" s="81"/>
    </row>
    <row r="128" spans="1:11">
      <c r="A128" s="349"/>
      <c r="B128" s="510"/>
      <c r="C128" s="72"/>
      <c r="D128" s="81"/>
      <c r="E128" s="70"/>
      <c r="F128" s="171"/>
      <c r="G128" s="70"/>
      <c r="H128" s="70"/>
      <c r="I128" s="70"/>
      <c r="J128" s="70"/>
      <c r="K128" s="81"/>
    </row>
    <row r="129" spans="1:11" ht="42" customHeight="1">
      <c r="A129" s="349"/>
      <c r="B129" s="510"/>
      <c r="C129" s="72"/>
      <c r="D129" s="81"/>
      <c r="E129" s="70"/>
      <c r="F129" s="171"/>
      <c r="G129" s="70"/>
      <c r="H129" s="70"/>
      <c r="I129" s="81"/>
      <c r="J129" s="70"/>
      <c r="K129" s="70"/>
    </row>
    <row r="130" spans="1:11" ht="15.75">
      <c r="A130" s="349"/>
      <c r="B130" s="510"/>
      <c r="C130" s="72"/>
      <c r="D130" s="81"/>
      <c r="E130" s="70"/>
      <c r="F130" s="171"/>
      <c r="G130" s="70"/>
      <c r="H130" s="70"/>
      <c r="I130" s="81"/>
      <c r="J130" s="82"/>
      <c r="K130" s="82"/>
    </row>
    <row r="131" spans="1:11" ht="15.75">
      <c r="A131" s="25"/>
      <c r="B131" s="77"/>
      <c r="C131" s="70"/>
      <c r="D131" s="81"/>
      <c r="E131" s="81"/>
      <c r="F131" s="171"/>
      <c r="G131" s="70"/>
      <c r="H131" s="70"/>
      <c r="I131" s="70"/>
      <c r="J131" s="82"/>
      <c r="K131" s="82"/>
    </row>
    <row r="132" spans="1:11" ht="15.75">
      <c r="A132" s="25"/>
      <c r="B132" s="77"/>
      <c r="C132" s="70"/>
      <c r="D132" s="81"/>
      <c r="E132" s="81"/>
      <c r="F132" s="171"/>
      <c r="G132" s="70"/>
      <c r="H132" s="70"/>
      <c r="I132" s="70"/>
      <c r="J132" s="82"/>
      <c r="K132" s="82"/>
    </row>
    <row r="133" spans="1:11" ht="15.75">
      <c r="A133" s="25"/>
      <c r="B133" s="77"/>
      <c r="C133" s="70"/>
      <c r="D133" s="81"/>
      <c r="E133" s="81"/>
      <c r="F133" s="171"/>
      <c r="G133" s="70"/>
      <c r="H133" s="70"/>
      <c r="I133" s="70"/>
      <c r="J133" s="82"/>
      <c r="K133" s="82"/>
    </row>
    <row r="134" spans="1:11" ht="15.75">
      <c r="A134" s="25"/>
      <c r="B134" s="77"/>
      <c r="C134" s="70"/>
      <c r="D134" s="81"/>
      <c r="E134" s="81"/>
      <c r="F134" s="172"/>
      <c r="G134" s="70"/>
      <c r="H134" s="81"/>
      <c r="I134" s="81"/>
      <c r="J134" s="81"/>
      <c r="K134" s="82"/>
    </row>
    <row r="135" spans="1:11" ht="15.75">
      <c r="A135" s="25"/>
      <c r="B135" s="77"/>
      <c r="C135" s="70"/>
      <c r="D135" s="81"/>
      <c r="E135" s="81"/>
      <c r="F135" s="171"/>
      <c r="G135" s="70"/>
      <c r="H135" s="81"/>
      <c r="I135" s="70"/>
      <c r="J135" s="82"/>
      <c r="K135" s="82"/>
    </row>
    <row r="136" spans="1:11" ht="15.75">
      <c r="A136" s="25"/>
      <c r="B136" s="77"/>
      <c r="C136" s="70"/>
      <c r="D136" s="81"/>
      <c r="E136" s="70"/>
      <c r="F136" s="172"/>
      <c r="G136" s="81"/>
      <c r="H136" s="70"/>
      <c r="I136" s="70"/>
      <c r="J136" s="82"/>
      <c r="K136" s="82"/>
    </row>
    <row r="137" spans="1:11" ht="13.5">
      <c r="A137" s="25"/>
      <c r="B137" s="83"/>
      <c r="C137" s="84"/>
      <c r="D137" s="85"/>
      <c r="E137" s="85"/>
      <c r="F137" s="173"/>
      <c r="G137" s="85"/>
      <c r="H137" s="85"/>
      <c r="I137" s="85"/>
      <c r="J137" s="85"/>
      <c r="K137" s="85"/>
    </row>
    <row r="138" spans="1:11">
      <c r="A138" s="25"/>
      <c r="B138" s="77"/>
      <c r="C138" s="70"/>
      <c r="D138" s="81"/>
      <c r="E138" s="81"/>
      <c r="F138" s="172"/>
      <c r="G138" s="70"/>
      <c r="H138" s="70"/>
      <c r="I138" s="70"/>
      <c r="J138" s="70"/>
      <c r="K138" s="81"/>
    </row>
    <row r="139" spans="1:11" ht="15.75">
      <c r="A139" s="38"/>
      <c r="B139" s="23"/>
      <c r="C139" s="128"/>
      <c r="D139" s="23"/>
      <c r="E139" s="23"/>
      <c r="F139" s="174"/>
      <c r="G139" s="23"/>
      <c r="H139" s="23"/>
      <c r="I139" s="23"/>
      <c r="J139" s="23"/>
      <c r="K139" s="23"/>
    </row>
    <row r="140" spans="1:11" ht="15.75">
      <c r="A140" s="38"/>
      <c r="B140" s="23"/>
      <c r="C140" s="128"/>
      <c r="D140" s="23"/>
      <c r="E140" s="23"/>
      <c r="F140" s="174"/>
      <c r="G140" s="23"/>
      <c r="H140" s="23"/>
      <c r="I140" s="23"/>
      <c r="J140" s="23"/>
      <c r="K140" s="23"/>
    </row>
    <row r="141" spans="1:11">
      <c r="A141" s="23"/>
      <c r="B141" s="23"/>
      <c r="C141" s="128"/>
      <c r="D141" s="23"/>
      <c r="E141" s="23"/>
      <c r="F141" s="174"/>
      <c r="G141" s="23"/>
      <c r="H141" s="23"/>
      <c r="I141" s="23"/>
      <c r="J141" s="23"/>
      <c r="K141" s="23"/>
    </row>
    <row r="142" spans="1:11">
      <c r="A142" s="23"/>
      <c r="B142" s="23"/>
      <c r="C142" s="128"/>
      <c r="D142" s="23"/>
      <c r="E142" s="23"/>
      <c r="F142" s="174"/>
      <c r="G142" s="23"/>
      <c r="H142" s="23"/>
      <c r="I142" s="23"/>
      <c r="J142" s="23"/>
      <c r="K142" s="23"/>
    </row>
    <row r="143" spans="1:11">
      <c r="A143" s="23"/>
      <c r="B143" s="23"/>
      <c r="C143" s="128"/>
      <c r="D143" s="23"/>
      <c r="E143" s="23"/>
      <c r="F143" s="174"/>
      <c r="G143" s="23"/>
      <c r="H143" s="23"/>
      <c r="I143" s="23"/>
      <c r="J143" s="23"/>
      <c r="K143" s="23"/>
    </row>
    <row r="144" spans="1:11">
      <c r="A144" s="23"/>
      <c r="B144" s="23"/>
      <c r="C144" s="128"/>
      <c r="D144" s="23"/>
      <c r="E144" s="23"/>
      <c r="F144" s="174"/>
      <c r="G144" s="23"/>
      <c r="H144" s="23"/>
      <c r="I144" s="23"/>
      <c r="J144" s="23"/>
      <c r="K144" s="23"/>
    </row>
    <row r="145" spans="1:11">
      <c r="A145" s="23"/>
      <c r="B145" s="23"/>
      <c r="C145" s="128"/>
      <c r="D145" s="23"/>
      <c r="E145" s="23"/>
      <c r="F145" s="174"/>
      <c r="G145" s="23"/>
      <c r="H145" s="23"/>
      <c r="I145" s="23"/>
      <c r="J145" s="23"/>
      <c r="K145" s="23"/>
    </row>
    <row r="146" spans="1:11">
      <c r="A146" s="23"/>
      <c r="B146" s="23"/>
      <c r="C146" s="128"/>
      <c r="D146" s="23"/>
      <c r="E146" s="23"/>
      <c r="F146" s="174"/>
      <c r="G146" s="23"/>
      <c r="H146" s="23"/>
      <c r="I146" s="23"/>
      <c r="J146" s="23"/>
      <c r="K146" s="23"/>
    </row>
    <row r="147" spans="1:11">
      <c r="A147" s="23"/>
      <c r="B147" s="23"/>
      <c r="C147" s="128"/>
      <c r="D147" s="23"/>
      <c r="E147" s="23"/>
      <c r="F147" s="174"/>
      <c r="G147" s="23"/>
      <c r="H147" s="23"/>
      <c r="I147" s="23"/>
      <c r="J147" s="23"/>
      <c r="K147" s="23"/>
    </row>
    <row r="148" spans="1:11">
      <c r="A148" s="23"/>
      <c r="B148" s="23"/>
      <c r="C148" s="128"/>
      <c r="D148" s="23"/>
      <c r="E148" s="23"/>
      <c r="F148" s="174"/>
      <c r="G148" s="23"/>
      <c r="H148" s="23"/>
      <c r="I148" s="23"/>
      <c r="J148" s="23"/>
      <c r="K148" s="23"/>
    </row>
    <row r="149" spans="1:11">
      <c r="A149" s="23"/>
      <c r="B149" s="23"/>
      <c r="C149" s="128"/>
      <c r="D149" s="23"/>
      <c r="E149" s="23"/>
      <c r="F149" s="174"/>
      <c r="G149" s="23"/>
      <c r="H149" s="23"/>
      <c r="I149" s="23"/>
      <c r="J149" s="23"/>
      <c r="K149" s="23"/>
    </row>
    <row r="150" spans="1:11">
      <c r="A150" s="23"/>
      <c r="B150" s="23"/>
      <c r="C150" s="128"/>
      <c r="D150" s="23"/>
      <c r="E150" s="23"/>
      <c r="F150" s="174"/>
      <c r="G150" s="23"/>
      <c r="H150" s="23"/>
      <c r="I150" s="23"/>
      <c r="J150" s="23"/>
      <c r="K150" s="23"/>
    </row>
    <row r="151" spans="1:11">
      <c r="A151" s="23"/>
      <c r="B151" s="23"/>
      <c r="C151" s="128"/>
      <c r="D151" s="23"/>
      <c r="E151" s="23"/>
      <c r="F151" s="174"/>
      <c r="G151" s="23"/>
      <c r="H151" s="23"/>
      <c r="I151" s="23"/>
      <c r="J151" s="23"/>
      <c r="K151" s="23"/>
    </row>
    <row r="152" spans="1:11">
      <c r="A152" s="23"/>
      <c r="B152" s="23"/>
      <c r="C152" s="128"/>
      <c r="D152" s="23"/>
      <c r="E152" s="23"/>
      <c r="F152" s="174"/>
      <c r="G152" s="23"/>
      <c r="H152" s="23"/>
      <c r="I152" s="23"/>
      <c r="J152" s="23"/>
      <c r="K152" s="23"/>
    </row>
    <row r="153" spans="1:11">
      <c r="A153" s="23"/>
      <c r="B153" s="23"/>
      <c r="C153" s="128"/>
      <c r="D153" s="23"/>
      <c r="E153" s="23"/>
      <c r="F153" s="174"/>
      <c r="G153" s="23"/>
      <c r="H153" s="23"/>
      <c r="I153" s="23"/>
      <c r="J153" s="23"/>
      <c r="K153" s="23"/>
    </row>
    <row r="154" spans="1:11">
      <c r="A154" s="23"/>
      <c r="B154" s="23"/>
      <c r="C154" s="128"/>
      <c r="D154" s="23"/>
      <c r="E154" s="23"/>
      <c r="F154" s="174"/>
      <c r="G154" s="23"/>
      <c r="H154" s="23"/>
      <c r="I154" s="23"/>
      <c r="J154" s="23"/>
      <c r="K154" s="23"/>
    </row>
    <row r="155" spans="1:11">
      <c r="A155" s="23"/>
      <c r="B155" s="23"/>
      <c r="C155" s="128"/>
      <c r="D155" s="23"/>
      <c r="E155" s="23"/>
      <c r="F155" s="174"/>
      <c r="G155" s="23"/>
      <c r="H155" s="23"/>
      <c r="I155" s="23"/>
      <c r="J155" s="23"/>
      <c r="K155" s="23"/>
    </row>
    <row r="156" spans="1:11">
      <c r="A156" s="23"/>
      <c r="B156" s="23"/>
      <c r="C156" s="128"/>
      <c r="D156" s="23"/>
      <c r="E156" s="23"/>
      <c r="F156" s="174"/>
      <c r="G156" s="23"/>
      <c r="H156" s="23"/>
      <c r="I156" s="23"/>
      <c r="J156" s="23"/>
      <c r="K156" s="23"/>
    </row>
    <row r="157" spans="1:11">
      <c r="A157" s="23"/>
      <c r="B157" s="23"/>
      <c r="C157" s="128"/>
      <c r="D157" s="23"/>
      <c r="E157" s="23"/>
      <c r="F157" s="174"/>
      <c r="G157" s="23"/>
      <c r="H157" s="23"/>
      <c r="I157" s="23"/>
      <c r="J157" s="23"/>
      <c r="K157" s="23"/>
    </row>
    <row r="158" spans="1:11">
      <c r="A158" s="23"/>
      <c r="B158" s="23"/>
      <c r="C158" s="128"/>
      <c r="D158" s="23"/>
      <c r="E158" s="23"/>
      <c r="F158" s="174"/>
      <c r="G158" s="23"/>
      <c r="H158" s="23"/>
      <c r="I158" s="23"/>
      <c r="J158" s="23"/>
      <c r="K158" s="23"/>
    </row>
    <row r="159" spans="1:11">
      <c r="A159" s="23"/>
      <c r="B159" s="23"/>
      <c r="C159" s="128"/>
      <c r="D159" s="23"/>
      <c r="E159" s="23"/>
      <c r="F159" s="174"/>
      <c r="G159" s="23"/>
      <c r="H159" s="23"/>
      <c r="I159" s="23"/>
      <c r="J159" s="23"/>
      <c r="K159" s="23"/>
    </row>
    <row r="160" spans="1:11">
      <c r="A160" s="23"/>
      <c r="B160" s="23"/>
      <c r="C160" s="128"/>
      <c r="D160" s="23"/>
      <c r="E160" s="23"/>
      <c r="F160" s="174"/>
      <c r="G160" s="23"/>
      <c r="H160" s="23"/>
      <c r="I160" s="23"/>
      <c r="J160" s="23"/>
      <c r="K160" s="23"/>
    </row>
    <row r="161" spans="1:11">
      <c r="A161" s="23"/>
      <c r="B161" s="23"/>
      <c r="C161" s="128"/>
      <c r="D161" s="23"/>
      <c r="E161" s="23"/>
      <c r="F161" s="174"/>
      <c r="G161" s="23"/>
      <c r="H161" s="23"/>
      <c r="I161" s="23"/>
      <c r="J161" s="23"/>
      <c r="K161" s="23"/>
    </row>
    <row r="162" spans="1:11">
      <c r="A162" s="23"/>
      <c r="B162" s="23"/>
      <c r="C162" s="128"/>
      <c r="D162" s="23"/>
      <c r="E162" s="23"/>
      <c r="F162" s="174"/>
      <c r="G162" s="23"/>
      <c r="H162" s="23"/>
      <c r="I162" s="23"/>
      <c r="J162" s="23"/>
      <c r="K162" s="23"/>
    </row>
    <row r="163" spans="1:11">
      <c r="A163" s="23"/>
      <c r="B163" s="23"/>
      <c r="C163" s="128"/>
      <c r="D163" s="23"/>
      <c r="E163" s="23"/>
      <c r="F163" s="174"/>
      <c r="G163" s="23"/>
      <c r="H163" s="23"/>
      <c r="I163" s="23"/>
      <c r="J163" s="23"/>
      <c r="K163" s="23"/>
    </row>
  </sheetData>
  <mergeCells count="98">
    <mergeCell ref="B28:B29"/>
    <mergeCell ref="B10:B12"/>
    <mergeCell ref="A6:K6"/>
    <mergeCell ref="A7:K8"/>
    <mergeCell ref="A24:A25"/>
    <mergeCell ref="G19:G22"/>
    <mergeCell ref="A26:A27"/>
    <mergeCell ref="B26:B27"/>
    <mergeCell ref="A28:A29"/>
    <mergeCell ref="A14:K14"/>
    <mergeCell ref="H19:H22"/>
    <mergeCell ref="F67:F68"/>
    <mergeCell ref="G67:G68"/>
    <mergeCell ref="H67:H68"/>
    <mergeCell ref="I67:I68"/>
    <mergeCell ref="A67:A68"/>
    <mergeCell ref="C67:C68"/>
    <mergeCell ref="D67:D68"/>
    <mergeCell ref="E67:E68"/>
    <mergeCell ref="A1:K1"/>
    <mergeCell ref="A2:K2"/>
    <mergeCell ref="A3:K3"/>
    <mergeCell ref="A4:K4"/>
    <mergeCell ref="B95:B96"/>
    <mergeCell ref="A93:A94"/>
    <mergeCell ref="B93:B94"/>
    <mergeCell ref="B89:B90"/>
    <mergeCell ref="A95:A96"/>
    <mergeCell ref="J67:J68"/>
    <mergeCell ref="C10:C12"/>
    <mergeCell ref="D10:K10"/>
    <mergeCell ref="D11:D12"/>
    <mergeCell ref="A15:A16"/>
    <mergeCell ref="B15:B16"/>
    <mergeCell ref="A10:A12"/>
    <mergeCell ref="A89:A90"/>
    <mergeCell ref="B107:B108"/>
    <mergeCell ref="A109:A110"/>
    <mergeCell ref="B109:B110"/>
    <mergeCell ref="A103:A104"/>
    <mergeCell ref="B103:B104"/>
    <mergeCell ref="A101:A102"/>
    <mergeCell ref="A97:A98"/>
    <mergeCell ref="A107:A108"/>
    <mergeCell ref="A91:A92"/>
    <mergeCell ref="B91:B92"/>
    <mergeCell ref="A105:A106"/>
    <mergeCell ref="B105:B106"/>
    <mergeCell ref="A114:A115"/>
    <mergeCell ref="B114:B115"/>
    <mergeCell ref="A116:A117"/>
    <mergeCell ref="B116:B117"/>
    <mergeCell ref="A112:A113"/>
    <mergeCell ref="B112:B113"/>
    <mergeCell ref="A129:A130"/>
    <mergeCell ref="B129:B130"/>
    <mergeCell ref="A119:A120"/>
    <mergeCell ref="B119:B120"/>
    <mergeCell ref="A121:A122"/>
    <mergeCell ref="B121:B122"/>
    <mergeCell ref="A123:A124"/>
    <mergeCell ref="B123:B124"/>
    <mergeCell ref="A127:A128"/>
    <mergeCell ref="B127:B128"/>
    <mergeCell ref="A125:A126"/>
    <mergeCell ref="B125:B126"/>
    <mergeCell ref="K67:K68"/>
    <mergeCell ref="B101:B102"/>
    <mergeCell ref="A81:A82"/>
    <mergeCell ref="B81:B82"/>
    <mergeCell ref="A87:A88"/>
    <mergeCell ref="A79:A80"/>
    <mergeCell ref="B79:B80"/>
    <mergeCell ref="A85:A86"/>
    <mergeCell ref="B85:B86"/>
    <mergeCell ref="A77:A78"/>
    <mergeCell ref="B97:B98"/>
    <mergeCell ref="A99:A100"/>
    <mergeCell ref="B99:B100"/>
    <mergeCell ref="A83:A84"/>
    <mergeCell ref="B83:B84"/>
    <mergeCell ref="B87:B88"/>
    <mergeCell ref="A42:K42"/>
    <mergeCell ref="B77:B78"/>
    <mergeCell ref="K19:K22"/>
    <mergeCell ref="A17:A18"/>
    <mergeCell ref="B17:B18"/>
    <mergeCell ref="A19:A23"/>
    <mergeCell ref="C19:C22"/>
    <mergeCell ref="D19:D22"/>
    <mergeCell ref="E19:E22"/>
    <mergeCell ref="F19:F22"/>
    <mergeCell ref="I19:I22"/>
    <mergeCell ref="J19:J22"/>
    <mergeCell ref="A34:A38"/>
    <mergeCell ref="C34:C38"/>
    <mergeCell ref="A30:A31"/>
    <mergeCell ref="B30:B31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ПРИЛОЖЕНИЕ №1</vt:lpstr>
      <vt:lpstr>ПРИЛОЖЕНИЕ №2</vt:lpstr>
      <vt:lpstr>ПРИЛОЖЕНИЕ №3</vt:lpstr>
      <vt:lpstr>ПРИЛОЖЕНИЕ №4</vt:lpstr>
      <vt:lpstr>'ПРИЛОЖЕНИЕ №4'!OLE_LINK1</vt:lpstr>
      <vt:lpstr>'ПРИЛОЖЕНИЕ №1'!Область_печати</vt:lpstr>
      <vt:lpstr>'ПРИЛОЖЕНИЕ №2'!Область_печати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luba</cp:lastModifiedBy>
  <cp:lastPrinted>2017-02-01T07:32:43Z</cp:lastPrinted>
  <dcterms:created xsi:type="dcterms:W3CDTF">1996-10-08T23:32:33Z</dcterms:created>
  <dcterms:modified xsi:type="dcterms:W3CDTF">2017-08-14T11:35:23Z</dcterms:modified>
</cp:coreProperties>
</file>