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O41" i="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N18" l="1"/>
  <c r="M18"/>
  <c r="K18"/>
  <c r="J18"/>
  <c r="N28"/>
  <c r="M28"/>
  <c r="K28"/>
  <c r="J28"/>
  <c r="N25"/>
  <c r="M25"/>
  <c r="K25"/>
  <c r="J25"/>
  <c r="H28" l="1"/>
  <c r="G28"/>
  <c r="H18"/>
  <c r="G18"/>
  <c r="H25"/>
  <c r="G25"/>
  <c r="N41"/>
  <c r="M41"/>
  <c r="K41"/>
  <c r="J41"/>
  <c r="H41"/>
  <c r="G41"/>
  <c r="N40"/>
  <c r="M40"/>
  <c r="K40"/>
  <c r="J40"/>
  <c r="H40"/>
  <c r="G40"/>
  <c r="N39"/>
  <c r="M39"/>
  <c r="K39"/>
  <c r="J39"/>
  <c r="H39"/>
  <c r="G39"/>
  <c r="N38"/>
  <c r="M38"/>
  <c r="K38"/>
  <c r="J38"/>
  <c r="H38"/>
  <c r="G38"/>
  <c r="N37"/>
  <c r="M37"/>
  <c r="K37"/>
  <c r="J37"/>
  <c r="H37"/>
  <c r="G37"/>
  <c r="N36"/>
  <c r="M36"/>
  <c r="K36"/>
  <c r="J36"/>
  <c r="H36"/>
  <c r="G36"/>
  <c r="N35"/>
  <c r="M35"/>
  <c r="K35"/>
  <c r="J35"/>
  <c r="H35"/>
  <c r="G35"/>
  <c r="N34"/>
  <c r="M34"/>
  <c r="K34"/>
  <c r="J34"/>
  <c r="H34"/>
  <c r="G34"/>
  <c r="N33"/>
  <c r="M33"/>
  <c r="K33"/>
  <c r="J33"/>
  <c r="H33"/>
  <c r="G33"/>
  <c r="N32"/>
  <c r="M32"/>
  <c r="K32"/>
  <c r="J32"/>
  <c r="H32"/>
  <c r="G32"/>
  <c r="N31"/>
  <c r="M31"/>
  <c r="K31"/>
  <c r="J31"/>
  <c r="H31"/>
  <c r="G31"/>
  <c r="N30"/>
  <c r="M30"/>
  <c r="K30"/>
  <c r="J30"/>
  <c r="H30"/>
  <c r="G30"/>
  <c r="N29"/>
  <c r="M29"/>
  <c r="K29"/>
  <c r="J29"/>
  <c r="H29"/>
  <c r="G29"/>
  <c r="N27"/>
  <c r="M27"/>
  <c r="K27"/>
  <c r="J27"/>
  <c r="H27"/>
  <c r="G27"/>
  <c r="N26"/>
  <c r="M26"/>
  <c r="K26"/>
  <c r="J26"/>
  <c r="H26"/>
  <c r="G26"/>
  <c r="N24"/>
  <c r="M24"/>
  <c r="K24"/>
  <c r="J24"/>
  <c r="H24"/>
  <c r="G24"/>
  <c r="N23"/>
  <c r="M23"/>
  <c r="K23"/>
  <c r="J23"/>
  <c r="H23"/>
  <c r="G23"/>
  <c r="N22"/>
  <c r="M22"/>
  <c r="K22"/>
  <c r="J22"/>
  <c r="N21"/>
  <c r="M21"/>
  <c r="K21"/>
  <c r="J21"/>
  <c r="H22"/>
  <c r="G22"/>
  <c r="H21"/>
  <c r="G21"/>
  <c r="N20"/>
  <c r="M20"/>
  <c r="K20"/>
  <c r="J20"/>
  <c r="H20"/>
  <c r="G20"/>
  <c r="N19"/>
  <c r="M19"/>
  <c r="K19"/>
  <c r="J19"/>
  <c r="H19"/>
  <c r="G19"/>
  <c r="N17"/>
  <c r="M17"/>
  <c r="K17"/>
  <c r="J17"/>
  <c r="H17"/>
  <c r="G17"/>
  <c r="N16"/>
  <c r="M16"/>
  <c r="K16"/>
  <c r="J16"/>
  <c r="H16"/>
  <c r="G16"/>
  <c r="N15"/>
  <c r="M15"/>
  <c r="K15"/>
  <c r="J15"/>
  <c r="H15"/>
  <c r="G15"/>
  <c r="N14"/>
  <c r="M14"/>
  <c r="K14"/>
  <c r="J14"/>
  <c r="H14"/>
  <c r="N13"/>
  <c r="M13"/>
  <c r="K13"/>
  <c r="J13"/>
  <c r="G14"/>
  <c r="H13"/>
  <c r="G13"/>
  <c r="N12"/>
  <c r="M12"/>
  <c r="K12"/>
  <c r="J12"/>
  <c r="H12"/>
  <c r="G12"/>
  <c r="N11"/>
  <c r="M11"/>
  <c r="H11"/>
  <c r="G11"/>
  <c r="K11" l="1"/>
  <c r="J11"/>
</calcChain>
</file>

<file path=xl/sharedStrings.xml><?xml version="1.0" encoding="utf-8"?>
<sst xmlns="http://schemas.openxmlformats.org/spreadsheetml/2006/main" count="49" uniqueCount="43">
  <si>
    <t>Наименование муниципальной услуги</t>
  </si>
  <si>
    <t>БНЗмун на оплату труда с начислениями на выплаты по оплате труда работников, непосредственно связанных с оказанием муниципальной услуги, включая административно-управленческий персонал, рублей</t>
  </si>
  <si>
    <t>Базовый муниципальный норматив затрат на оказание услуги, рублей</t>
  </si>
  <si>
    <t>2020 год</t>
  </si>
  <si>
    <t>2021 год</t>
  </si>
  <si>
    <t>2022 год</t>
  </si>
  <si>
    <t>БНЗмун на коммунальные услугии содержание недвижимого имущества, необходимого для выполнения МЗ на оказание муниципальной услуги, рублей</t>
  </si>
  <si>
    <t>Спортивная подготовка  по олимпийским видам спорта</t>
  </si>
  <si>
    <t>Спортивная подготовка по олимпийским видам спорта. Баскетбол. Этап начальной подготовки</t>
  </si>
  <si>
    <t>Спортивная подготовка по олимпийским видам спорта. Баскетбол. Тренировочный этап</t>
  </si>
  <si>
    <t>Спортивная подготовка по олимпийским видам спорта. Бокс. Этап начальной подготовки</t>
  </si>
  <si>
    <t>Спортивная подготовка по олимпийским видам спорта. Бокс. Тренировочный этап</t>
  </si>
  <si>
    <t>Спортивная подготовка по олимпийским видам спорта. Бокс. Этап высшего спортивного мастерства</t>
  </si>
  <si>
    <t>Спортивная подготовка по олимпийским видам спорта. Велосипедный спорт. Этап начальной подготовки</t>
  </si>
  <si>
    <t>Спортивная подготовка по олимпийским видам спорта. Велосипедный спорт. Тренировочный этап</t>
  </si>
  <si>
    <t>Спортивная подготовка по олимпийским видам спорта. Волейбол. Этап начальной подготовки</t>
  </si>
  <si>
    <t>Спортивная подготовка по олимпийским видам спорта. Волейбол. Тренировочный этап</t>
  </si>
  <si>
    <t>Спортивная подготовка по олимпийским видам спорта. Конный спорт. Этап начальной подготовки</t>
  </si>
  <si>
    <t>Спортивная подготовка по олимпийским видам спорта. Конный спорт. Тренировочный этап</t>
  </si>
  <si>
    <t>Спортивная подготовка по олимпийским видам спорта. Легкая атлетика. Этап начальной подготовки</t>
  </si>
  <si>
    <t>Спортивная подготовка по олимпийским видам спорта. Легкая атлетика. Тренировочный этап</t>
  </si>
  <si>
    <t>Спортивная подготовка по олимпийским видам спорта. Лыжные гонки. Этап начальной подготовки</t>
  </si>
  <si>
    <t>Спортивная подготовка по олимпийским видам спорта. Лыжные гонки. Тренировочный этап</t>
  </si>
  <si>
    <t>Спортивная подготовка по олимпийским видам спорта. Настольный теннис. Тренировочный этап</t>
  </si>
  <si>
    <t>Спортивная подготовка по олимпийским видам спорта. Плавание. Этап начальной подготовки</t>
  </si>
  <si>
    <t>Спортивная подготовка по олимпийским видам спорта. Плавание. Тренировочный этап</t>
  </si>
  <si>
    <t>Спортивная подготовка по олимпийским видам спорта. Плавание. Этап совершенствования спортивного мастерства</t>
  </si>
  <si>
    <t>Спортивная подготовка по олимпийским видам спорта. Прыжки на батуте. Этап начальной подготовки</t>
  </si>
  <si>
    <t>Спортивная подготовка по олимпийским видам спорта. Прыжки на батуте. Тренировочный этап</t>
  </si>
  <si>
    <t>Спортивная подготовка по олимпийским видам спорта. Спортивная гимнастика. Этап начальной подготовки</t>
  </si>
  <si>
    <t>Спортивная подготовка по олимпийским видам спорта. Спортивная гимнастика. Тренировочный этап</t>
  </si>
  <si>
    <t>Спортивная подготовка по олимпийским видам спорта. Тяжелая атлетика. Этап начальной подготовки</t>
  </si>
  <si>
    <t>Спортивная подготовка по олимпийским видам спорта. Тяжелая атлетика. Тренировочный этап</t>
  </si>
  <si>
    <t>Спортивная подготовка по олимпийским видам спорта. Тяжелая атлетика. Этап совершенствования спортивного мастерства</t>
  </si>
  <si>
    <t>Спортивная подготовка по олимпийским видам спорта. Футбол. Этап начальной подготовки</t>
  </si>
  <si>
    <t>Спортивная подготовка по олимпийским видам спорта. Футбол. Тренировочный этап</t>
  </si>
  <si>
    <t>№ п/п</t>
  </si>
  <si>
    <t>администрации Асбестовского городского округа</t>
  </si>
  <si>
    <t xml:space="preserve">Значения базовых нормативных затрат на оказание муниципальных услуг муниципальными учреждениями, осуществляющими спортивную подготовку, подведомстенными  </t>
  </si>
  <si>
    <t>Спортивная подготовка по олимпийским видам спорта. Легкая атлетика. Этап совершенствования спортивного мастерства</t>
  </si>
  <si>
    <t>Спортивная подготовка по олимпийским видам спорта. Велосипедный спорт. Этап совершенствования спортивного мастерства</t>
  </si>
  <si>
    <t>Спортивная подготовка по олимпийским видам спорта. Лыжные гонки. Этап высшего спортивного мастерства</t>
  </si>
  <si>
    <t>Приложение к постановлению администрации Асбестовского городского округа от 23.06.2020 № 368-ПА "Об утверждении Порядка формирования муниципального задания и определения нормативных затрат на оказание муниципальных услуг и затрат, связанных с выполнением работ, муниципальными учреждениями, осуществляющими спортивную подготовку, подведомственными администрации Асбестовского городского округа, применяемых при расчете объема субсидии на фианасовое обеспечение выполнения муниципального задания на оказание муниципальных услуг (выполнение работ)"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</si>
</sst>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Liberation Serif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2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4" fillId="2" borderId="1" xfId="0" applyNumberFormat="1" applyFont="1" applyFill="1" applyBorder="1" applyAlignment="1" applyProtection="1">
      <alignment horizontal="center" vertical="center"/>
      <protection locked="0"/>
    </xf>
    <xf numFmtId="4" fontId="5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tabSelected="1" topLeftCell="B1" workbookViewId="0">
      <selection activeCell="K1" sqref="K1"/>
    </sheetView>
  </sheetViews>
  <sheetFormatPr defaultRowHeight="15"/>
  <cols>
    <col min="2" max="2" width="9.140625" style="1"/>
    <col min="7" max="7" width="21.140625" customWidth="1"/>
    <col min="8" max="8" width="20.7109375" customWidth="1"/>
    <col min="9" max="9" width="18" customWidth="1"/>
    <col min="10" max="10" width="22.5703125" customWidth="1"/>
    <col min="11" max="11" width="23.85546875" customWidth="1"/>
    <col min="12" max="12" width="16.85546875" customWidth="1"/>
    <col min="13" max="13" width="20.140625" customWidth="1"/>
    <col min="14" max="14" width="17.5703125" customWidth="1"/>
    <col min="15" max="15" width="14.28515625" customWidth="1"/>
  </cols>
  <sheetData>
    <row r="1" spans="1:15" ht="108.75" customHeight="1">
      <c r="L1" s="23" t="s">
        <v>42</v>
      </c>
      <c r="M1" s="24"/>
      <c r="N1" s="24"/>
      <c r="O1" s="24"/>
    </row>
    <row r="4" spans="1:15">
      <c r="A4" s="2"/>
      <c r="B4" s="21" t="s">
        <v>38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>
      <c r="A5" s="2"/>
      <c r="B5" s="21" t="s">
        <v>37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>
      <c r="A6" s="2"/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40.25">
      <c r="A7" s="5"/>
      <c r="B7" s="15" t="s">
        <v>36</v>
      </c>
      <c r="C7" s="15" t="s">
        <v>0</v>
      </c>
      <c r="D7" s="15"/>
      <c r="E7" s="15"/>
      <c r="F7" s="15"/>
      <c r="G7" s="6" t="s">
        <v>1</v>
      </c>
      <c r="H7" s="6" t="s">
        <v>6</v>
      </c>
      <c r="I7" s="6" t="s">
        <v>2</v>
      </c>
      <c r="J7" s="6" t="s">
        <v>1</v>
      </c>
      <c r="K7" s="6" t="s">
        <v>6</v>
      </c>
      <c r="L7" s="6" t="s">
        <v>2</v>
      </c>
      <c r="M7" s="6" t="s">
        <v>1</v>
      </c>
      <c r="N7" s="6" t="s">
        <v>6</v>
      </c>
      <c r="O7" s="6" t="s">
        <v>2</v>
      </c>
    </row>
    <row r="8" spans="1:15">
      <c r="A8" s="5"/>
      <c r="B8" s="16"/>
      <c r="C8" s="15"/>
      <c r="D8" s="15"/>
      <c r="E8" s="15"/>
      <c r="F8" s="15"/>
      <c r="G8" s="19" t="s">
        <v>3</v>
      </c>
      <c r="H8" s="19"/>
      <c r="I8" s="19"/>
      <c r="J8" s="19" t="s">
        <v>4</v>
      </c>
      <c r="K8" s="19"/>
      <c r="L8" s="19"/>
      <c r="M8" s="19" t="s">
        <v>5</v>
      </c>
      <c r="N8" s="19"/>
      <c r="O8" s="19"/>
    </row>
    <row r="9" spans="1:15">
      <c r="A9" s="5"/>
      <c r="B9" s="7">
        <v>1</v>
      </c>
      <c r="C9" s="19">
        <v>2</v>
      </c>
      <c r="D9" s="19"/>
      <c r="E9" s="19"/>
      <c r="F9" s="19"/>
      <c r="G9" s="8">
        <v>3</v>
      </c>
      <c r="H9" s="8">
        <v>4</v>
      </c>
      <c r="I9" s="8">
        <v>5</v>
      </c>
      <c r="J9" s="8">
        <v>3</v>
      </c>
      <c r="K9" s="8">
        <v>4</v>
      </c>
      <c r="L9" s="8">
        <v>5</v>
      </c>
      <c r="M9" s="8">
        <v>3</v>
      </c>
      <c r="N9" s="8">
        <v>4</v>
      </c>
      <c r="O9" s="8">
        <v>5</v>
      </c>
    </row>
    <row r="10" spans="1:15">
      <c r="A10" s="5"/>
      <c r="B10" s="18" t="s">
        <v>7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5" ht="38.25" customHeight="1">
      <c r="A11" s="5"/>
      <c r="B11" s="7">
        <v>1</v>
      </c>
      <c r="C11" s="17" t="s">
        <v>8</v>
      </c>
      <c r="D11" s="17"/>
      <c r="E11" s="17"/>
      <c r="F11" s="17"/>
      <c r="G11" s="9">
        <f>0.046*I11</f>
        <v>850.62601999999993</v>
      </c>
      <c r="H11" s="9">
        <f>0.0012*I11</f>
        <v>22.190243999999996</v>
      </c>
      <c r="I11" s="9">
        <v>18491.87</v>
      </c>
      <c r="J11" s="9">
        <f>0.046*L11</f>
        <v>952.70114239999998</v>
      </c>
      <c r="K11" s="9">
        <f>0.0012*L11</f>
        <v>24.85307328</v>
      </c>
      <c r="L11" s="9">
        <f>I11*1.12</f>
        <v>20710.894400000001</v>
      </c>
      <c r="M11" s="9">
        <f>0.046*O11</f>
        <v>952.70114239999998</v>
      </c>
      <c r="N11" s="9">
        <f>0.0012*O11</f>
        <v>24.85307328</v>
      </c>
      <c r="O11" s="9">
        <f>I11*1.12</f>
        <v>20710.894400000001</v>
      </c>
    </row>
    <row r="12" spans="1:15" ht="39" customHeight="1">
      <c r="A12" s="5"/>
      <c r="B12" s="7">
        <v>2</v>
      </c>
      <c r="C12" s="17" t="s">
        <v>9</v>
      </c>
      <c r="D12" s="17"/>
      <c r="E12" s="17"/>
      <c r="F12" s="17"/>
      <c r="G12" s="9">
        <f>0.027*I12</f>
        <v>2937.5257499999998</v>
      </c>
      <c r="H12" s="9">
        <f>0.0016*I12</f>
        <v>174.07560000000001</v>
      </c>
      <c r="I12" s="9">
        <v>108797.25</v>
      </c>
      <c r="J12" s="9">
        <f>0.027*L12</f>
        <v>3290.0288400000004</v>
      </c>
      <c r="K12" s="9">
        <f>0.0016*L12</f>
        <v>194.96467200000004</v>
      </c>
      <c r="L12" s="9">
        <f>I12*1.12</f>
        <v>121852.92000000001</v>
      </c>
      <c r="M12" s="9">
        <f>0.027*O12</f>
        <v>3290.0288400000004</v>
      </c>
      <c r="N12" s="9">
        <f>0.0016*O12</f>
        <v>194.96467200000004</v>
      </c>
      <c r="O12" s="9">
        <f t="shared" ref="O12:O41" si="0">I12*1.12</f>
        <v>121852.92000000001</v>
      </c>
    </row>
    <row r="13" spans="1:15" ht="38.25" customHeight="1">
      <c r="A13" s="5"/>
      <c r="B13" s="7">
        <v>3</v>
      </c>
      <c r="C13" s="17" t="s">
        <v>10</v>
      </c>
      <c r="D13" s="17"/>
      <c r="E13" s="17"/>
      <c r="F13" s="17"/>
      <c r="G13" s="9">
        <f>0.081*I13</f>
        <v>957.4345800000001</v>
      </c>
      <c r="H13" s="9">
        <f>0.0024*I13</f>
        <v>28.368431999999999</v>
      </c>
      <c r="I13" s="9">
        <v>11820.18</v>
      </c>
      <c r="J13" s="9">
        <f>0.081*L13</f>
        <v>1072.3267296000001</v>
      </c>
      <c r="K13" s="9">
        <f>0.0024*L13</f>
        <v>31.772643840000001</v>
      </c>
      <c r="L13" s="9">
        <f t="shared" ref="L13:L41" si="1">I13*1.12</f>
        <v>13238.601600000002</v>
      </c>
      <c r="M13" s="9">
        <f>0.081*O13</f>
        <v>1072.3267296000001</v>
      </c>
      <c r="N13" s="9">
        <f>0.0024*O13</f>
        <v>31.772643840000001</v>
      </c>
      <c r="O13" s="9">
        <f t="shared" si="0"/>
        <v>13238.601600000002</v>
      </c>
    </row>
    <row r="14" spans="1:15" ht="29.25" customHeight="1">
      <c r="A14" s="5"/>
      <c r="B14" s="7">
        <v>4</v>
      </c>
      <c r="C14" s="17" t="s">
        <v>11</v>
      </c>
      <c r="D14" s="17"/>
      <c r="E14" s="17"/>
      <c r="F14" s="17"/>
      <c r="G14" s="9">
        <f>0.052*I14</f>
        <v>4721.7840799999994</v>
      </c>
      <c r="H14" s="9">
        <f>0.0031*I14</f>
        <v>281.49097399999999</v>
      </c>
      <c r="I14" s="9">
        <v>90803.54</v>
      </c>
      <c r="J14" s="9">
        <f>0.052*L14</f>
        <v>5288.3981696000001</v>
      </c>
      <c r="K14" s="9">
        <f>0.0031*L14</f>
        <v>315.26989087999999</v>
      </c>
      <c r="L14" s="9">
        <f t="shared" si="1"/>
        <v>101699.9648</v>
      </c>
      <c r="M14" s="9">
        <f>0.052*O14</f>
        <v>5288.3981696000001</v>
      </c>
      <c r="N14" s="9">
        <f>0.0031*O14</f>
        <v>315.26989087999999</v>
      </c>
      <c r="O14" s="9">
        <f t="shared" si="0"/>
        <v>101699.9648</v>
      </c>
    </row>
    <row r="15" spans="1:15" ht="38.25" customHeight="1">
      <c r="A15" s="5"/>
      <c r="B15" s="7">
        <v>5</v>
      </c>
      <c r="C15" s="17" t="s">
        <v>12</v>
      </c>
      <c r="D15" s="17"/>
      <c r="E15" s="17"/>
      <c r="F15" s="17"/>
      <c r="G15" s="9">
        <f>0.35*I15</f>
        <v>73186.060499999992</v>
      </c>
      <c r="H15" s="9">
        <f>0.037*I15</f>
        <v>7736.8121099999998</v>
      </c>
      <c r="I15" s="9">
        <v>209103.03</v>
      </c>
      <c r="J15" s="9">
        <f>0.35*L15</f>
        <v>81968.387759999998</v>
      </c>
      <c r="K15" s="9">
        <f>0.037*L15</f>
        <v>8665.2295632000005</v>
      </c>
      <c r="L15" s="9">
        <f t="shared" si="1"/>
        <v>234195.39360000001</v>
      </c>
      <c r="M15" s="9">
        <f>0.35*O15</f>
        <v>81968.387759999998</v>
      </c>
      <c r="N15" s="9">
        <f>0.037*O15</f>
        <v>8665.2295632000005</v>
      </c>
      <c r="O15" s="9">
        <f t="shared" si="0"/>
        <v>234195.39360000001</v>
      </c>
    </row>
    <row r="16" spans="1:15" ht="39" customHeight="1">
      <c r="A16" s="5"/>
      <c r="B16" s="7">
        <v>6</v>
      </c>
      <c r="C16" s="17" t="s">
        <v>13</v>
      </c>
      <c r="D16" s="17"/>
      <c r="E16" s="17"/>
      <c r="F16" s="17"/>
      <c r="G16" s="9">
        <f>0.066*I16</f>
        <v>1403.9922600000002</v>
      </c>
      <c r="H16" s="9">
        <f>0.002*I16</f>
        <v>42.54522</v>
      </c>
      <c r="I16" s="9">
        <v>21272.61</v>
      </c>
      <c r="J16" s="9">
        <f>0.066*L16</f>
        <v>1572.4713312000003</v>
      </c>
      <c r="K16" s="9">
        <f>0.002*L16</f>
        <v>47.650646400000007</v>
      </c>
      <c r="L16" s="9">
        <f t="shared" si="1"/>
        <v>23825.323200000003</v>
      </c>
      <c r="M16" s="9">
        <f>0.066*O16</f>
        <v>1572.4713312000003</v>
      </c>
      <c r="N16" s="9">
        <f>0.002*O16</f>
        <v>47.650646400000007</v>
      </c>
      <c r="O16" s="9">
        <f t="shared" si="0"/>
        <v>23825.323200000003</v>
      </c>
    </row>
    <row r="17" spans="1:15" ht="38.25" customHeight="1">
      <c r="A17" s="5"/>
      <c r="B17" s="7">
        <v>7</v>
      </c>
      <c r="C17" s="17" t="s">
        <v>14</v>
      </c>
      <c r="D17" s="17"/>
      <c r="E17" s="17"/>
      <c r="F17" s="17"/>
      <c r="G17" s="9">
        <f>0.04*I17</f>
        <v>3187.4124000000002</v>
      </c>
      <c r="H17" s="9">
        <f>0.003*I17</f>
        <v>239.05592999999999</v>
      </c>
      <c r="I17" s="9">
        <v>79685.31</v>
      </c>
      <c r="J17" s="9">
        <f>0.04*L17</f>
        <v>3569.9018880000003</v>
      </c>
      <c r="K17" s="9">
        <f>0.003*L17</f>
        <v>267.74264160000001</v>
      </c>
      <c r="L17" s="9">
        <f t="shared" si="1"/>
        <v>89247.547200000001</v>
      </c>
      <c r="M17" s="9">
        <f>0.04*O17</f>
        <v>3569.9018880000003</v>
      </c>
      <c r="N17" s="9">
        <f>0.003*O17</f>
        <v>267.74264160000001</v>
      </c>
      <c r="O17" s="9">
        <f t="shared" si="0"/>
        <v>89247.547200000001</v>
      </c>
    </row>
    <row r="18" spans="1:15" ht="38.25" customHeight="1">
      <c r="A18" s="5"/>
      <c r="B18" s="10">
        <v>8</v>
      </c>
      <c r="C18" s="14" t="s">
        <v>40</v>
      </c>
      <c r="D18" s="14"/>
      <c r="E18" s="14"/>
      <c r="F18" s="14"/>
      <c r="G18" s="13">
        <f>0.04*I18</f>
        <v>5312.3540000000003</v>
      </c>
      <c r="H18" s="13">
        <f>0.003*I18</f>
        <v>398.42655000000002</v>
      </c>
      <c r="I18" s="11">
        <v>132808.85</v>
      </c>
      <c r="J18" s="9">
        <f>0.058*L18</f>
        <v>8627.2628960000002</v>
      </c>
      <c r="K18" s="9">
        <f>0.003*L18</f>
        <v>446.23773600000004</v>
      </c>
      <c r="L18" s="9">
        <f t="shared" si="1"/>
        <v>148745.91200000001</v>
      </c>
      <c r="M18" s="9">
        <f>0.058*O18</f>
        <v>8627.2628960000002</v>
      </c>
      <c r="N18" s="9">
        <f>0.003*O18</f>
        <v>446.23773600000004</v>
      </c>
      <c r="O18" s="9">
        <f t="shared" si="0"/>
        <v>148745.91200000001</v>
      </c>
    </row>
    <row r="19" spans="1:15" ht="40.5" customHeight="1">
      <c r="A19" s="5"/>
      <c r="B19" s="10">
        <v>9</v>
      </c>
      <c r="C19" s="17" t="s">
        <v>15</v>
      </c>
      <c r="D19" s="17"/>
      <c r="E19" s="17"/>
      <c r="F19" s="17"/>
      <c r="G19" s="9">
        <f>0.047*I19</f>
        <v>737.01686999999993</v>
      </c>
      <c r="H19" s="9">
        <f>0.0012*I19</f>
        <v>18.817451999999996</v>
      </c>
      <c r="I19" s="9">
        <v>15681.21</v>
      </c>
      <c r="J19" s="9">
        <f>0.047*L19</f>
        <v>825.45889439999996</v>
      </c>
      <c r="K19" s="9">
        <f>0.0012*L19</f>
        <v>21.075546239999998</v>
      </c>
      <c r="L19" s="9">
        <f t="shared" si="1"/>
        <v>17562.9552</v>
      </c>
      <c r="M19" s="9">
        <f>0.047*O19</f>
        <v>825.45889439999996</v>
      </c>
      <c r="N19" s="9">
        <f>0.0012*O19</f>
        <v>21.075546239999998</v>
      </c>
      <c r="O19" s="9">
        <f t="shared" si="0"/>
        <v>17562.9552</v>
      </c>
    </row>
    <row r="20" spans="1:15" ht="37.5" customHeight="1">
      <c r="A20" s="5"/>
      <c r="B20" s="10">
        <v>10</v>
      </c>
      <c r="C20" s="17" t="s">
        <v>16</v>
      </c>
      <c r="D20" s="17"/>
      <c r="E20" s="17"/>
      <c r="F20" s="17"/>
      <c r="G20" s="9">
        <f>0.028*I20</f>
        <v>2644.6254800000002</v>
      </c>
      <c r="H20" s="9">
        <f>0.0017*I20</f>
        <v>160.56654699999999</v>
      </c>
      <c r="I20" s="9">
        <v>94450.91</v>
      </c>
      <c r="J20" s="9">
        <f>0.028*L20</f>
        <v>2961.9805376000004</v>
      </c>
      <c r="K20" s="9">
        <f>0.0017*L20</f>
        <v>179.83453264000002</v>
      </c>
      <c r="L20" s="9">
        <f t="shared" si="1"/>
        <v>105785.01920000001</v>
      </c>
      <c r="M20" s="9">
        <f>0.028*O20</f>
        <v>2961.9805376000004</v>
      </c>
      <c r="N20" s="9">
        <f>0.0017*O20</f>
        <v>179.83453264000002</v>
      </c>
      <c r="O20" s="9">
        <f t="shared" si="0"/>
        <v>105785.01920000001</v>
      </c>
    </row>
    <row r="21" spans="1:15" ht="37.5" customHeight="1">
      <c r="A21" s="5"/>
      <c r="B21" s="10">
        <v>11</v>
      </c>
      <c r="C21" s="17" t="s">
        <v>17</v>
      </c>
      <c r="D21" s="17"/>
      <c r="E21" s="17"/>
      <c r="F21" s="17"/>
      <c r="G21" s="9">
        <f>0.028*I21</f>
        <v>395.43979999999999</v>
      </c>
      <c r="H21" s="9">
        <f>0.0019*I21</f>
        <v>26.833415000000002</v>
      </c>
      <c r="I21" s="9">
        <v>14122.85</v>
      </c>
      <c r="J21" s="9">
        <f>0.028*L21</f>
        <v>442.89257600000008</v>
      </c>
      <c r="K21" s="9">
        <f>0.0019*L21</f>
        <v>30.053424800000005</v>
      </c>
      <c r="L21" s="9">
        <f t="shared" si="1"/>
        <v>15817.592000000002</v>
      </c>
      <c r="M21" s="9">
        <f>0.028*O21</f>
        <v>442.89257600000008</v>
      </c>
      <c r="N21" s="9">
        <f>0.0019*O21</f>
        <v>30.053424800000005</v>
      </c>
      <c r="O21" s="9">
        <f t="shared" si="0"/>
        <v>15817.592000000002</v>
      </c>
    </row>
    <row r="22" spans="1:15" ht="37.5" customHeight="1">
      <c r="A22" s="5"/>
      <c r="B22" s="10">
        <v>12</v>
      </c>
      <c r="C22" s="17" t="s">
        <v>18</v>
      </c>
      <c r="D22" s="17"/>
      <c r="E22" s="17"/>
      <c r="F22" s="17"/>
      <c r="G22" s="9">
        <f>0.063*I22</f>
        <v>5344.1747100000002</v>
      </c>
      <c r="H22" s="9">
        <f>0.006*I22</f>
        <v>508.96902</v>
      </c>
      <c r="I22" s="9">
        <v>84828.17</v>
      </c>
      <c r="J22" s="9">
        <f>0.063*L22</f>
        <v>5985.4756752000003</v>
      </c>
      <c r="K22" s="9">
        <f>0.006*L22</f>
        <v>570.04530240000008</v>
      </c>
      <c r="L22" s="9">
        <f t="shared" si="1"/>
        <v>95007.550400000007</v>
      </c>
      <c r="M22" s="9">
        <f>0.063*O22</f>
        <v>5985.4756752000003</v>
      </c>
      <c r="N22" s="9">
        <f>0.006*O22</f>
        <v>570.04530240000008</v>
      </c>
      <c r="O22" s="9">
        <f t="shared" si="0"/>
        <v>95007.550400000007</v>
      </c>
    </row>
    <row r="23" spans="1:15" ht="38.25" customHeight="1">
      <c r="A23" s="5"/>
      <c r="B23" s="10">
        <v>13</v>
      </c>
      <c r="C23" s="17" t="s">
        <v>19</v>
      </c>
      <c r="D23" s="17"/>
      <c r="E23" s="17"/>
      <c r="F23" s="17"/>
      <c r="G23" s="9">
        <f>0.075*I23</f>
        <v>959.94299999999998</v>
      </c>
      <c r="H23" s="9">
        <f>0.0015*I23</f>
        <v>19.19886</v>
      </c>
      <c r="I23" s="9">
        <v>12799.24</v>
      </c>
      <c r="J23" s="9">
        <f>0.075*L23</f>
        <v>1075.13616</v>
      </c>
      <c r="K23" s="9">
        <f>0.0015*L23</f>
        <v>21.502723200000002</v>
      </c>
      <c r="L23" s="9">
        <f t="shared" si="1"/>
        <v>14335.148800000001</v>
      </c>
      <c r="M23" s="9">
        <f>0.075*O23</f>
        <v>1075.13616</v>
      </c>
      <c r="N23" s="9">
        <f>0.0015*O23</f>
        <v>21.502723200000002</v>
      </c>
      <c r="O23" s="9">
        <f t="shared" si="0"/>
        <v>14335.148800000001</v>
      </c>
    </row>
    <row r="24" spans="1:15" ht="41.25" customHeight="1">
      <c r="A24" s="5"/>
      <c r="B24" s="10">
        <v>14</v>
      </c>
      <c r="C24" s="17" t="s">
        <v>20</v>
      </c>
      <c r="D24" s="17"/>
      <c r="E24" s="17"/>
      <c r="F24" s="17"/>
      <c r="G24" s="9">
        <f>0.058*I24</f>
        <v>6251.1628600000004</v>
      </c>
      <c r="H24" s="9">
        <f>0.003*I24</f>
        <v>323.33600999999999</v>
      </c>
      <c r="I24" s="9">
        <v>107778.67</v>
      </c>
      <c r="J24" s="9">
        <f>0.058*L24</f>
        <v>7001.3024032000003</v>
      </c>
      <c r="K24" s="9">
        <f>0.003*L24</f>
        <v>362.13633120000003</v>
      </c>
      <c r="L24" s="9">
        <f t="shared" si="1"/>
        <v>120712.11040000001</v>
      </c>
      <c r="M24" s="9">
        <f>0.058*O24</f>
        <v>7001.3024032000003</v>
      </c>
      <c r="N24" s="9">
        <f>0.003*O24</f>
        <v>362.13633120000003</v>
      </c>
      <c r="O24" s="9">
        <f t="shared" si="0"/>
        <v>120712.11040000001</v>
      </c>
    </row>
    <row r="25" spans="1:15" ht="38.25" customHeight="1">
      <c r="A25" s="5"/>
      <c r="B25" s="10">
        <v>15</v>
      </c>
      <c r="C25" s="14" t="s">
        <v>39</v>
      </c>
      <c r="D25" s="14"/>
      <c r="E25" s="14"/>
      <c r="F25" s="14"/>
      <c r="G25" s="13">
        <f>0.058*I25</f>
        <v>14395.221840000002</v>
      </c>
      <c r="H25" s="13">
        <f>0.003*I25</f>
        <v>744.58044000000007</v>
      </c>
      <c r="I25" s="12">
        <v>248193.48</v>
      </c>
      <c r="J25" s="9">
        <f>0.058*L25</f>
        <v>16122.648460800001</v>
      </c>
      <c r="K25" s="9">
        <f>0.003*L25</f>
        <v>833.93009280000001</v>
      </c>
      <c r="L25" s="9">
        <f t="shared" si="1"/>
        <v>277976.69760000001</v>
      </c>
      <c r="M25" s="9">
        <f>0.058*O25</f>
        <v>16122.648460800001</v>
      </c>
      <c r="N25" s="9">
        <f>0.003*O25</f>
        <v>833.93009280000001</v>
      </c>
      <c r="O25" s="9">
        <f t="shared" si="0"/>
        <v>277976.69760000001</v>
      </c>
    </row>
    <row r="26" spans="1:15" ht="37.5" customHeight="1">
      <c r="A26" s="5"/>
      <c r="B26" s="10">
        <v>16</v>
      </c>
      <c r="C26" s="17" t="s">
        <v>21</v>
      </c>
      <c r="D26" s="17"/>
      <c r="E26" s="17"/>
      <c r="F26" s="17"/>
      <c r="G26" s="9">
        <f>0.071*I26</f>
        <v>888.76592999999991</v>
      </c>
      <c r="H26" s="9">
        <f>0.005*I26</f>
        <v>62.589150000000004</v>
      </c>
      <c r="I26" s="9">
        <v>12517.83</v>
      </c>
      <c r="J26" s="9">
        <f>0.071*L26</f>
        <v>995.41784159999997</v>
      </c>
      <c r="K26" s="9">
        <f>0.005*L26</f>
        <v>70.099848000000009</v>
      </c>
      <c r="L26" s="9">
        <f t="shared" si="1"/>
        <v>14019.9696</v>
      </c>
      <c r="M26" s="9">
        <f>0.071*O26</f>
        <v>995.41784159999997</v>
      </c>
      <c r="N26" s="9">
        <f>0.005*O26</f>
        <v>70.099848000000009</v>
      </c>
      <c r="O26" s="9">
        <f t="shared" si="0"/>
        <v>14019.9696</v>
      </c>
    </row>
    <row r="27" spans="1:15" ht="45.75" customHeight="1">
      <c r="A27" s="5"/>
      <c r="B27" s="10">
        <v>17</v>
      </c>
      <c r="C27" s="17" t="s">
        <v>22</v>
      </c>
      <c r="D27" s="17"/>
      <c r="E27" s="17"/>
      <c r="F27" s="17"/>
      <c r="G27" s="9">
        <f>0.039*I27</f>
        <v>4471.47948</v>
      </c>
      <c r="H27" s="9">
        <f>0.0056*I27</f>
        <v>642.05859199999998</v>
      </c>
      <c r="I27" s="9">
        <v>114653.32</v>
      </c>
      <c r="J27" s="9">
        <f>0.039*L27</f>
        <v>5008.057017600001</v>
      </c>
      <c r="K27" s="9">
        <f>0.0056*L27</f>
        <v>719.10562304000018</v>
      </c>
      <c r="L27" s="9">
        <f t="shared" si="1"/>
        <v>128411.71840000003</v>
      </c>
      <c r="M27" s="9">
        <f>0.039*O27</f>
        <v>5008.057017600001</v>
      </c>
      <c r="N27" s="9">
        <f>0.0056*O27</f>
        <v>719.10562304000018</v>
      </c>
      <c r="O27" s="9">
        <f t="shared" si="0"/>
        <v>128411.71840000003</v>
      </c>
    </row>
    <row r="28" spans="1:15" ht="45.75" customHeight="1">
      <c r="A28" s="5"/>
      <c r="B28" s="10">
        <v>18</v>
      </c>
      <c r="C28" s="14" t="s">
        <v>41</v>
      </c>
      <c r="D28" s="14"/>
      <c r="E28" s="14"/>
      <c r="F28" s="14"/>
      <c r="G28" s="13">
        <f>0.039*I28</f>
        <v>10296.954329999999</v>
      </c>
      <c r="H28" s="13">
        <f>0.0056*I28</f>
        <v>1478.5370319999997</v>
      </c>
      <c r="I28" s="11">
        <v>264024.46999999997</v>
      </c>
      <c r="J28" s="9">
        <f>0.058*L28</f>
        <v>17151.029571200001</v>
      </c>
      <c r="K28" s="9">
        <f>0.003*L28</f>
        <v>887.1222191999999</v>
      </c>
      <c r="L28" s="9">
        <f t="shared" si="1"/>
        <v>295707.40639999998</v>
      </c>
      <c r="M28" s="9">
        <f>0.058*O28</f>
        <v>17151.029571200001</v>
      </c>
      <c r="N28" s="9">
        <f>0.003*O28</f>
        <v>887.1222191999999</v>
      </c>
      <c r="O28" s="9">
        <f t="shared" si="0"/>
        <v>295707.40639999998</v>
      </c>
    </row>
    <row r="29" spans="1:15" ht="44.25" customHeight="1">
      <c r="A29" s="5"/>
      <c r="B29" s="10">
        <v>19</v>
      </c>
      <c r="C29" s="17" t="s">
        <v>23</v>
      </c>
      <c r="D29" s="17"/>
      <c r="E29" s="17"/>
      <c r="F29" s="17"/>
      <c r="G29" s="9">
        <f>0.048*I29</f>
        <v>2301.0854399999998</v>
      </c>
      <c r="H29" s="9">
        <f>0.0025*I29</f>
        <v>119.84820000000001</v>
      </c>
      <c r="I29" s="9">
        <v>47939.28</v>
      </c>
      <c r="J29" s="9">
        <f>0.048*L29</f>
        <v>2577.2156927999999</v>
      </c>
      <c r="K29" s="9">
        <f>0.0025*L29</f>
        <v>134.229984</v>
      </c>
      <c r="L29" s="9">
        <f t="shared" si="1"/>
        <v>53691.993600000002</v>
      </c>
      <c r="M29" s="9">
        <f>0.048*O29</f>
        <v>2577.2156927999999</v>
      </c>
      <c r="N29" s="9">
        <f>0.0025*O29</f>
        <v>134.229984</v>
      </c>
      <c r="O29" s="9">
        <f t="shared" si="0"/>
        <v>53691.993600000002</v>
      </c>
    </row>
    <row r="30" spans="1:15" ht="38.25" customHeight="1">
      <c r="A30" s="5"/>
      <c r="B30" s="10">
        <v>20</v>
      </c>
      <c r="C30" s="17" t="s">
        <v>24</v>
      </c>
      <c r="D30" s="17"/>
      <c r="E30" s="17"/>
      <c r="F30" s="17"/>
      <c r="G30" s="9">
        <f>0.08*I30</f>
        <v>872.17920000000004</v>
      </c>
      <c r="H30" s="9">
        <f>0.0084*I30</f>
        <v>91.578815999999989</v>
      </c>
      <c r="I30" s="9">
        <v>10902.24</v>
      </c>
      <c r="J30" s="9">
        <f>0.08*L30</f>
        <v>976.84070400000019</v>
      </c>
      <c r="K30" s="9">
        <f>0.0084*L30</f>
        <v>102.56827392000001</v>
      </c>
      <c r="L30" s="9">
        <f t="shared" si="1"/>
        <v>12210.508800000001</v>
      </c>
      <c r="M30" s="9">
        <f>0.08*O30</f>
        <v>976.84070400000019</v>
      </c>
      <c r="N30" s="9">
        <f>0.0084*O30</f>
        <v>102.56827392000001</v>
      </c>
      <c r="O30" s="9">
        <f t="shared" si="0"/>
        <v>12210.508800000001</v>
      </c>
    </row>
    <row r="31" spans="1:15" ht="38.25" customHeight="1">
      <c r="A31" s="5"/>
      <c r="B31" s="10">
        <v>21</v>
      </c>
      <c r="C31" s="17" t="s">
        <v>25</v>
      </c>
      <c r="D31" s="17"/>
      <c r="E31" s="17"/>
      <c r="F31" s="17"/>
      <c r="G31" s="9">
        <f>0.043*I31</f>
        <v>2260.4631300000001</v>
      </c>
      <c r="H31" s="9">
        <f>0.01*I31</f>
        <v>525.68910000000005</v>
      </c>
      <c r="I31" s="9">
        <v>52568.91</v>
      </c>
      <c r="J31" s="9">
        <f>0.043*L31</f>
        <v>2531.7187056000002</v>
      </c>
      <c r="K31" s="9">
        <f>0.01*L31</f>
        <v>588.77179200000012</v>
      </c>
      <c r="L31" s="9">
        <f t="shared" si="1"/>
        <v>58877.179200000006</v>
      </c>
      <c r="M31" s="9">
        <f>0.043*O31</f>
        <v>2531.7187056000002</v>
      </c>
      <c r="N31" s="9">
        <f>0.01*O31</f>
        <v>588.77179200000012</v>
      </c>
      <c r="O31" s="9">
        <f t="shared" si="0"/>
        <v>58877.179200000006</v>
      </c>
    </row>
    <row r="32" spans="1:15" ht="41.25" customHeight="1">
      <c r="A32" s="5"/>
      <c r="B32" s="10">
        <v>22</v>
      </c>
      <c r="C32" s="17" t="s">
        <v>26</v>
      </c>
      <c r="D32" s="17"/>
      <c r="E32" s="17"/>
      <c r="F32" s="17"/>
      <c r="G32" s="9">
        <f>0.19*I32</f>
        <v>16627.863300000001</v>
      </c>
      <c r="H32" s="9">
        <f>0.062*I32</f>
        <v>5425.9343400000007</v>
      </c>
      <c r="I32" s="9">
        <v>87515.07</v>
      </c>
      <c r="J32" s="9">
        <f>0.19*L32</f>
        <v>18623.206896000003</v>
      </c>
      <c r="K32" s="9">
        <f>0.062*L32</f>
        <v>6077.0464608000011</v>
      </c>
      <c r="L32" s="9">
        <f t="shared" si="1"/>
        <v>98016.878400000016</v>
      </c>
      <c r="M32" s="9">
        <f>0.19*O32</f>
        <v>18623.206896000003</v>
      </c>
      <c r="N32" s="9">
        <f>0.062*O32</f>
        <v>6077.0464608000011</v>
      </c>
      <c r="O32" s="9">
        <f t="shared" si="0"/>
        <v>98016.878400000016</v>
      </c>
    </row>
    <row r="33" spans="1:15" ht="41.25" customHeight="1">
      <c r="A33" s="5"/>
      <c r="B33" s="10">
        <v>23</v>
      </c>
      <c r="C33" s="17" t="s">
        <v>27</v>
      </c>
      <c r="D33" s="17"/>
      <c r="E33" s="17"/>
      <c r="F33" s="17"/>
      <c r="G33" s="9">
        <f>0.11*I33</f>
        <v>1481.9068</v>
      </c>
      <c r="H33" s="9">
        <f>0.003*I33</f>
        <v>40.415639999999996</v>
      </c>
      <c r="I33" s="9">
        <v>13471.88</v>
      </c>
      <c r="J33" s="9">
        <f>0.11*L33</f>
        <v>1659.7356160000002</v>
      </c>
      <c r="K33" s="9">
        <f>0.003*L33</f>
        <v>45.2655168</v>
      </c>
      <c r="L33" s="9">
        <f t="shared" si="1"/>
        <v>15088.5056</v>
      </c>
      <c r="M33" s="9">
        <f>0.11*O33</f>
        <v>1659.7356160000002</v>
      </c>
      <c r="N33" s="9">
        <f>0.003*O33</f>
        <v>45.2655168</v>
      </c>
      <c r="O33" s="9">
        <f t="shared" si="0"/>
        <v>15088.5056</v>
      </c>
    </row>
    <row r="34" spans="1:15" ht="39" customHeight="1">
      <c r="A34" s="5"/>
      <c r="B34" s="10">
        <v>24</v>
      </c>
      <c r="C34" s="17" t="s">
        <v>28</v>
      </c>
      <c r="D34" s="17"/>
      <c r="E34" s="17"/>
      <c r="F34" s="17"/>
      <c r="G34" s="9">
        <f>0.052*I34</f>
        <v>5597.0163599999996</v>
      </c>
      <c r="H34" s="9">
        <f>0.003*I34</f>
        <v>322.90478999999999</v>
      </c>
      <c r="I34" s="9">
        <v>107634.93</v>
      </c>
      <c r="J34" s="9">
        <f>0.052*L34</f>
        <v>6268.6583231999994</v>
      </c>
      <c r="K34" s="9">
        <f>0.003*L34</f>
        <v>361.65336480000002</v>
      </c>
      <c r="L34" s="9">
        <f t="shared" si="1"/>
        <v>120551.1216</v>
      </c>
      <c r="M34" s="9">
        <f>0.052*O34</f>
        <v>6268.6583231999994</v>
      </c>
      <c r="N34" s="9">
        <f>0.003*O34</f>
        <v>361.65336480000002</v>
      </c>
      <c r="O34" s="9">
        <f t="shared" si="0"/>
        <v>120551.1216</v>
      </c>
    </row>
    <row r="35" spans="1:15" ht="39" customHeight="1">
      <c r="A35" s="5"/>
      <c r="B35" s="10">
        <v>25</v>
      </c>
      <c r="C35" s="17" t="s">
        <v>29</v>
      </c>
      <c r="D35" s="17"/>
      <c r="E35" s="17"/>
      <c r="F35" s="17"/>
      <c r="G35" s="9">
        <f>0.1*I35</f>
        <v>1403.5889999999999</v>
      </c>
      <c r="H35" s="9">
        <f>0.003*I35</f>
        <v>42.107669999999999</v>
      </c>
      <c r="I35" s="9">
        <v>14035.89</v>
      </c>
      <c r="J35" s="9">
        <f>0.1*L35</f>
        <v>1572.0196800000003</v>
      </c>
      <c r="K35" s="9">
        <f>0.003*L35</f>
        <v>47.160590400000004</v>
      </c>
      <c r="L35" s="9">
        <f t="shared" si="1"/>
        <v>15720.196800000002</v>
      </c>
      <c r="M35" s="9">
        <f>0.1*O35</f>
        <v>1572.0196800000003</v>
      </c>
      <c r="N35" s="9">
        <f>0.003*O35</f>
        <v>47.160590400000004</v>
      </c>
      <c r="O35" s="9">
        <f t="shared" si="0"/>
        <v>15720.196800000002</v>
      </c>
    </row>
    <row r="36" spans="1:15" ht="36.75" customHeight="1">
      <c r="A36" s="5"/>
      <c r="B36" s="10">
        <v>26</v>
      </c>
      <c r="C36" s="17" t="s">
        <v>30</v>
      </c>
      <c r="D36" s="17"/>
      <c r="E36" s="17"/>
      <c r="F36" s="17"/>
      <c r="G36" s="9">
        <f>0.089*I36</f>
        <v>10425.608629999999</v>
      </c>
      <c r="H36" s="9">
        <f>0.0058*I36</f>
        <v>679.42168599999991</v>
      </c>
      <c r="I36" s="9">
        <v>117141.67</v>
      </c>
      <c r="J36" s="9">
        <f>0.089*L36</f>
        <v>11676.681665599999</v>
      </c>
      <c r="K36" s="9">
        <f>0.0058*L36</f>
        <v>760.95228831999998</v>
      </c>
      <c r="L36" s="9">
        <f t="shared" si="1"/>
        <v>131198.6704</v>
      </c>
      <c r="M36" s="9">
        <f>0.089*O36</f>
        <v>11676.681665599999</v>
      </c>
      <c r="N36" s="9">
        <f>0.0058*O36</f>
        <v>760.95228831999998</v>
      </c>
      <c r="O36" s="9">
        <f t="shared" si="0"/>
        <v>131198.6704</v>
      </c>
    </row>
    <row r="37" spans="1:15" ht="37.5" customHeight="1">
      <c r="A37" s="5"/>
      <c r="B37" s="10">
        <v>27</v>
      </c>
      <c r="C37" s="17" t="s">
        <v>31</v>
      </c>
      <c r="D37" s="17"/>
      <c r="E37" s="17"/>
      <c r="F37" s="17"/>
      <c r="G37" s="9">
        <f>0.098*I37</f>
        <v>1095.6419600000002</v>
      </c>
      <c r="H37" s="9">
        <f>0.0029*I37</f>
        <v>32.422058</v>
      </c>
      <c r="I37" s="9">
        <v>11180.02</v>
      </c>
      <c r="J37" s="9">
        <f>0.098*L37</f>
        <v>1227.1189952000002</v>
      </c>
      <c r="K37" s="9">
        <f>0.0029*L37</f>
        <v>36.312704960000005</v>
      </c>
      <c r="L37" s="9">
        <f t="shared" si="1"/>
        <v>12521.622400000002</v>
      </c>
      <c r="M37" s="9">
        <f>0.098*O37</f>
        <v>1227.1189952000002</v>
      </c>
      <c r="N37" s="9">
        <f>0.0029*O37</f>
        <v>36.312704960000005</v>
      </c>
      <c r="O37" s="9">
        <f t="shared" si="0"/>
        <v>12521.622400000002</v>
      </c>
    </row>
    <row r="38" spans="1:15" ht="41.25" customHeight="1">
      <c r="A38" s="5"/>
      <c r="B38" s="10">
        <v>28</v>
      </c>
      <c r="C38" s="17" t="s">
        <v>32</v>
      </c>
      <c r="D38" s="17"/>
      <c r="E38" s="17"/>
      <c r="F38" s="17"/>
      <c r="G38" s="9">
        <f>0.059*I38</f>
        <v>4177.7693499999996</v>
      </c>
      <c r="H38" s="9">
        <f>0.0039*I38</f>
        <v>276.15763499999997</v>
      </c>
      <c r="I38" s="9">
        <v>70809.649999999994</v>
      </c>
      <c r="J38" s="9">
        <f>0.059*L38</f>
        <v>4679.1016719999998</v>
      </c>
      <c r="K38" s="9">
        <f>0.0039*L38</f>
        <v>309.29655120000001</v>
      </c>
      <c r="L38" s="9">
        <f t="shared" si="1"/>
        <v>79306.808000000005</v>
      </c>
      <c r="M38" s="9">
        <f>0.059*O38</f>
        <v>4679.1016719999998</v>
      </c>
      <c r="N38" s="9">
        <f>0.0039*O38</f>
        <v>309.29655120000001</v>
      </c>
      <c r="O38" s="9">
        <f t="shared" si="0"/>
        <v>79306.808000000005</v>
      </c>
    </row>
    <row r="39" spans="1:15" ht="42" customHeight="1">
      <c r="A39" s="5"/>
      <c r="B39" s="10">
        <v>29</v>
      </c>
      <c r="C39" s="17" t="s">
        <v>33</v>
      </c>
      <c r="D39" s="17"/>
      <c r="E39" s="17"/>
      <c r="F39" s="17"/>
      <c r="G39" s="9">
        <f>0.197*I39</f>
        <v>17652.370180000002</v>
      </c>
      <c r="H39" s="9">
        <f>0.018*I39</f>
        <v>1612.9069199999999</v>
      </c>
      <c r="I39" s="9">
        <v>89605.94</v>
      </c>
      <c r="J39" s="9">
        <f>0.197*L39</f>
        <v>19770.654601600003</v>
      </c>
      <c r="K39" s="9">
        <f>0.018*L39</f>
        <v>1806.4557504000002</v>
      </c>
      <c r="L39" s="9">
        <f t="shared" si="1"/>
        <v>100358.65280000001</v>
      </c>
      <c r="M39" s="9">
        <f>0.197*O39</f>
        <v>19770.654601600003</v>
      </c>
      <c r="N39" s="9">
        <f>0.018*O39</f>
        <v>1806.4557504000002</v>
      </c>
      <c r="O39" s="9">
        <f t="shared" si="0"/>
        <v>100358.65280000001</v>
      </c>
    </row>
    <row r="40" spans="1:15" ht="39" customHeight="1">
      <c r="A40" s="5"/>
      <c r="B40" s="10">
        <v>30</v>
      </c>
      <c r="C40" s="17" t="s">
        <v>34</v>
      </c>
      <c r="D40" s="17"/>
      <c r="E40" s="17"/>
      <c r="F40" s="17"/>
      <c r="G40" s="9">
        <f>0.07*I40</f>
        <v>911.3048</v>
      </c>
      <c r="H40" s="9">
        <f>0.0016*I40</f>
        <v>20.829823999999999</v>
      </c>
      <c r="I40" s="9">
        <v>13018.64</v>
      </c>
      <c r="J40" s="9">
        <f>0.07*L40</f>
        <v>1020.6613760000001</v>
      </c>
      <c r="K40" s="9">
        <f>0.0016*L40</f>
        <v>23.32940288</v>
      </c>
      <c r="L40" s="9">
        <f t="shared" si="1"/>
        <v>14580.8768</v>
      </c>
      <c r="M40" s="9">
        <f>0.07*O40</f>
        <v>1020.6613760000001</v>
      </c>
      <c r="N40" s="9">
        <f>0.0016*O40</f>
        <v>23.32940288</v>
      </c>
      <c r="O40" s="9">
        <f t="shared" si="0"/>
        <v>14580.8768</v>
      </c>
    </row>
    <row r="41" spans="1:15" ht="24.75" customHeight="1">
      <c r="A41" s="5"/>
      <c r="B41" s="10">
        <v>31</v>
      </c>
      <c r="C41" s="17" t="s">
        <v>35</v>
      </c>
      <c r="D41" s="17"/>
      <c r="E41" s="17"/>
      <c r="F41" s="17"/>
      <c r="G41" s="9">
        <f>0.027*I41</f>
        <v>1813.0327199999999</v>
      </c>
      <c r="H41" s="9">
        <f>0.001*I41</f>
        <v>67.149360000000001</v>
      </c>
      <c r="I41" s="9">
        <v>67149.36</v>
      </c>
      <c r="J41" s="9">
        <f>0.027*L41</f>
        <v>2030.5966464000001</v>
      </c>
      <c r="K41" s="9">
        <f>0.001*L41</f>
        <v>75.207283200000006</v>
      </c>
      <c r="L41" s="9">
        <f t="shared" si="1"/>
        <v>75207.283200000005</v>
      </c>
      <c r="M41" s="9">
        <f>0.027*O41</f>
        <v>2030.5966464000001</v>
      </c>
      <c r="N41" s="9">
        <f>0.001*O41</f>
        <v>75.207283200000006</v>
      </c>
      <c r="O41" s="9">
        <f t="shared" si="0"/>
        <v>75207.283200000005</v>
      </c>
    </row>
    <row r="42" spans="1:15">
      <c r="C42" s="20"/>
      <c r="D42" s="20"/>
      <c r="E42" s="20"/>
      <c r="F42" s="20"/>
    </row>
  </sheetData>
  <mergeCells count="42">
    <mergeCell ref="B4:O4"/>
    <mergeCell ref="B5:O5"/>
    <mergeCell ref="L1:O1"/>
    <mergeCell ref="C37:F37"/>
    <mergeCell ref="C41:F41"/>
    <mergeCell ref="C23:F23"/>
    <mergeCell ref="C24:F24"/>
    <mergeCell ref="C26:F26"/>
    <mergeCell ref="C27:F27"/>
    <mergeCell ref="C29:F29"/>
    <mergeCell ref="C30:F30"/>
    <mergeCell ref="C16:F16"/>
    <mergeCell ref="C17:F17"/>
    <mergeCell ref="C19:F19"/>
    <mergeCell ref="C20:F20"/>
    <mergeCell ref="C21:F21"/>
    <mergeCell ref="C42:F42"/>
    <mergeCell ref="C38:F38"/>
    <mergeCell ref="C39:F39"/>
    <mergeCell ref="C40:F40"/>
    <mergeCell ref="C31:F31"/>
    <mergeCell ref="C32:F32"/>
    <mergeCell ref="C33:F33"/>
    <mergeCell ref="C34:F34"/>
    <mergeCell ref="C35:F35"/>
    <mergeCell ref="C36:F36"/>
    <mergeCell ref="C25:F25"/>
    <mergeCell ref="C18:F18"/>
    <mergeCell ref="C28:F28"/>
    <mergeCell ref="B7:B8"/>
    <mergeCell ref="C22:F22"/>
    <mergeCell ref="B10:O10"/>
    <mergeCell ref="C11:F11"/>
    <mergeCell ref="C12:F12"/>
    <mergeCell ref="C13:F13"/>
    <mergeCell ref="C14:F14"/>
    <mergeCell ref="C15:F15"/>
    <mergeCell ref="C9:F9"/>
    <mergeCell ref="C7:F8"/>
    <mergeCell ref="G8:I8"/>
    <mergeCell ref="J8:L8"/>
    <mergeCell ref="M8:O8"/>
  </mergeCells>
  <pageMargins left="0.70866141732283472" right="0.70866141732283472" top="0.74803149606299213" bottom="0.74803149606299213" header="0.31496062992125984" footer="0.31496062992125984"/>
  <pageSetup paperSize="9" scale="56" fitToHeight="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2020-06-26T04:15:37Z</dcterms:modified>
</cp:coreProperties>
</file>